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<sst xmlns="http://schemas.openxmlformats.org/spreadsheetml/2006/main" count="171" uniqueCount="123">
  <si>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</si>
  <si>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</si>
  <si>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</si>
  <si>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</si>
  <si>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</si>
  <si>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</si>
  <si>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</si>
  <si>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</si>
  <si>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</si>
  <si>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</si>
  <si>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</si>
  <si>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</si>
  <si>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</si>
  <si>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</si>
  <si>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</si>
  <si>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</si>
  <si>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</si>
  <si>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</si>
  <si>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</si>
  <si>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</si>
  <si>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</si>
  <si>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</si>
  <si>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</si>
  <si>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</si>
  <si>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</si>
  <si>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</si>
  <si>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</si>
  <si>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</si>
  <si>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</si>
  <si>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</si>
  <si>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</si>
  <si>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</si>
  <si>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</si>
  <si>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</si>
  <si>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</si>
  <si>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</si>
  <si>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</si>
  <si>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</si>
  <si>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</si>
  <si>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</si>
  <si>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</si>
  <si>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</si>
  <si>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</si>
  <si>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</si>
  <si>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</si>
  <si>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</si>
  <si>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</si>
  <si>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</si>
  <si>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</si>
  <si>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</si>
  <si>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</si>
  <si>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</si>
  <si>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</si>
  <si>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</si>
  <si>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</si>
  <si>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</si>
  <si>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</si>
  <si>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</si>
  <si>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</si>
  <si>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</si>
  <si>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</si>
  <si>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</si>
  <si>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</si>
  <si>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</si>
  <si>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</si>
  <si>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</si>
  <si>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</si>
  <si>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</si>
  <si>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</si>
  <si>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</si>
  <si>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</si>
  <si>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</si>
  <si>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</si>
  <si>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</si>
  <si>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</si>
  <si>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</si>
  <si>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</si>
  <si>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</si>
  <si>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</si>
  <si>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</si>
  <si>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</si>
  <si>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</si>
  <si>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</si>
  <si>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</si>
  <si>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</si>
  <si>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</si>
  <si>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</si>
  <si>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</si>
  <si>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</si>
  <si>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</si>
  <si>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</si>
  <si>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</si>
  <si>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</si>
  <si>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</si>
  <si>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</si>
  <si>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</si>
  <si>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</si>
  <si>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</si>
  <si>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</si>
  <si>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</si>
  <si>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</si>
  <si>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</si>
  <si>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</si>
  <si>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</si>
  <si>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</si>
  <si>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</si>
  <si>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</si>
  <si>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</si>
  <si>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</si>
  <si>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</si>
  <si>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</si>
  <si>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</si>
  <si>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</si>
  <si>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</si>
  <si>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</si>
  <si>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</si>
  <si>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</si>
  <si>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</si>
  <si>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</si>
  <si>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</si>
  <si>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</si>
  <si>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в т.ч. трансферти населенню</t>
  </si>
  <si>
    <t>Аналіз використання коштів міського бюджету за 2015 рік станом на 21.10.2015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</si>
</sst>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34984.19999999999</c:v>
                </c:pt>
                <c:pt idx="1">
                  <c:v>30110.800000000007</c:v>
                </c:pt>
                <c:pt idx="2">
                  <c:v>1123.4999999999998</c:v>
                </c:pt>
                <c:pt idx="3">
                  <c:v>3749.8999999999833</c:v>
                </c:pt>
              </c:numCache>
            </c:numRef>
          </c:val>
          <c:shape val="box"/>
        </c:ser>
        <c:shape val="box"/>
        <c:axId val="20862352"/>
        <c:axId val="53543441"/>
      </c:bar3DChart>
      <c:catAx>
        <c:axId val="20862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543441"/>
        <c:crosses val="autoZero"/>
        <c:auto val="1"/>
        <c:lblOffset val="100"/>
        <c:tickLblSkip val="1"/>
        <c:noMultiLvlLbl val="0"/>
      </c:catAx>
      <c:valAx>
        <c:axId val="53543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623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250870.30000000002</c:v>
                </c:pt>
                <c:pt idx="1">
                  <c:v>126152.80000000002</c:v>
                </c:pt>
                <c:pt idx="2">
                  <c:v>196732.59999999995</c:v>
                </c:pt>
                <c:pt idx="3">
                  <c:v>18.200000000000003</c:v>
                </c:pt>
                <c:pt idx="4">
                  <c:v>13328.799999999997</c:v>
                </c:pt>
                <c:pt idx="5">
                  <c:v>38026.100000000006</c:v>
                </c:pt>
                <c:pt idx="6">
                  <c:v>196.59999999999997</c:v>
                </c:pt>
                <c:pt idx="7">
                  <c:v>2568.0000000000714</c:v>
                </c:pt>
              </c:numCache>
            </c:numRef>
          </c:val>
          <c:shape val="box"/>
        </c:ser>
        <c:shape val="box"/>
        <c:axId val="12128922"/>
        <c:axId val="42051435"/>
      </c:bar3DChart>
      <c:catAx>
        <c:axId val="12128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51435"/>
        <c:crosses val="autoZero"/>
        <c:auto val="1"/>
        <c:lblOffset val="100"/>
        <c:tickLblSkip val="1"/>
        <c:noMultiLvlLbl val="0"/>
      </c:catAx>
      <c:valAx>
        <c:axId val="42051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289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171063.79999999996</c:v>
                </c:pt>
                <c:pt idx="1">
                  <c:v>149094.8</c:v>
                </c:pt>
                <c:pt idx="2">
                  <c:v>137127.3</c:v>
                </c:pt>
                <c:pt idx="3">
                  <c:v>8179.900000000001</c:v>
                </c:pt>
                <c:pt idx="4">
                  <c:v>2477.499999999999</c:v>
                </c:pt>
                <c:pt idx="5">
                  <c:v>14697.099999999999</c:v>
                </c:pt>
                <c:pt idx="6">
                  <c:v>998.7999999999998</c:v>
                </c:pt>
                <c:pt idx="7">
                  <c:v>7583.199999999971</c:v>
                </c:pt>
              </c:numCache>
            </c:numRef>
          </c:val>
          <c:shape val="box"/>
        </c:ser>
        <c:shape val="box"/>
        <c:axId val="42918596"/>
        <c:axId val="50723045"/>
      </c:bar3DChart>
      <c:catAx>
        <c:axId val="42918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23045"/>
        <c:crosses val="autoZero"/>
        <c:auto val="1"/>
        <c:lblOffset val="100"/>
        <c:tickLblSkip val="1"/>
        <c:noMultiLvlLbl val="0"/>
      </c:catAx>
      <c:valAx>
        <c:axId val="50723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185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32403.199999999993</c:v>
                </c:pt>
                <c:pt idx="1">
                  <c:v>23336.400000000005</c:v>
                </c:pt>
                <c:pt idx="2">
                  <c:v>1288.3000000000004</c:v>
                </c:pt>
                <c:pt idx="3">
                  <c:v>475.8</c:v>
                </c:pt>
                <c:pt idx="4">
                  <c:v>17</c:v>
                </c:pt>
                <c:pt idx="5">
                  <c:v>7285.699999999988</c:v>
                </c:pt>
              </c:numCache>
            </c:numRef>
          </c:val>
          <c:shape val="box"/>
        </c:ser>
        <c:shape val="box"/>
        <c:axId val="53854222"/>
        <c:axId val="14925951"/>
      </c:bar3DChart>
      <c:catAx>
        <c:axId val="53854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25951"/>
        <c:crosses val="autoZero"/>
        <c:auto val="1"/>
        <c:lblOffset val="100"/>
        <c:tickLblSkip val="1"/>
        <c:noMultiLvlLbl val="0"/>
      </c:catAx>
      <c:valAx>
        <c:axId val="14925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542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4636.700000000002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9943.400000000003</c:v>
                </c:pt>
                <c:pt idx="1">
                  <c:v>6593.3</c:v>
                </c:pt>
                <c:pt idx="2">
                  <c:v>1.4</c:v>
                </c:pt>
                <c:pt idx="3">
                  <c:v>133.20000000000002</c:v>
                </c:pt>
                <c:pt idx="4">
                  <c:v>424.2000000000001</c:v>
                </c:pt>
                <c:pt idx="5">
                  <c:v>2791.300000000003</c:v>
                </c:pt>
              </c:numCache>
            </c:numRef>
          </c:val>
          <c:shape val="box"/>
        </c:ser>
        <c:shape val="box"/>
        <c:axId val="115832"/>
        <c:axId val="1042489"/>
      </c:bar3DChart>
      <c:catAx>
        <c:axId val="11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2489"/>
        <c:crosses val="autoZero"/>
        <c:auto val="1"/>
        <c:lblOffset val="100"/>
        <c:tickLblSkip val="2"/>
        <c:noMultiLvlLbl val="0"/>
      </c:catAx>
      <c:valAx>
        <c:axId val="1042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8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4651.099999999999</c:v>
                </c:pt>
                <c:pt idx="1">
                  <c:v>1108.3999999999999</c:v>
                </c:pt>
                <c:pt idx="2">
                  <c:v>296.3</c:v>
                </c:pt>
                <c:pt idx="3">
                  <c:v>244.70000000000005</c:v>
                </c:pt>
                <c:pt idx="4">
                  <c:v>2871.7</c:v>
                </c:pt>
                <c:pt idx="5">
                  <c:v>130.00000000000017</c:v>
                </c:pt>
              </c:numCache>
            </c:numRef>
          </c:val>
          <c:shape val="box"/>
        </c:ser>
        <c:shape val="box"/>
        <c:axId val="9382402"/>
        <c:axId val="17332755"/>
      </c:bar3DChart>
      <c:catAx>
        <c:axId val="938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32755"/>
        <c:crosses val="autoZero"/>
        <c:auto val="1"/>
        <c:lblOffset val="100"/>
        <c:tickLblSkip val="1"/>
        <c:noMultiLvlLbl val="0"/>
      </c:catAx>
      <c:valAx>
        <c:axId val="17332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824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44751.30000000002</c:v>
                </c:pt>
              </c:numCache>
            </c:numRef>
          </c:val>
          <c:shape val="box"/>
        </c:ser>
        <c:shape val="box"/>
        <c:axId val="21777068"/>
        <c:axId val="61775885"/>
      </c:bar3DChart>
      <c:catAx>
        <c:axId val="2177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775885"/>
        <c:crosses val="autoZero"/>
        <c:auto val="1"/>
        <c:lblOffset val="100"/>
        <c:tickLblSkip val="1"/>
        <c:noMultiLvlLbl val="0"/>
      </c:catAx>
      <c:valAx>
        <c:axId val="61775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770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250870.30000000002</c:v>
                </c:pt>
                <c:pt idx="1">
                  <c:v>171063.79999999996</c:v>
                </c:pt>
                <c:pt idx="2">
                  <c:v>32403.199999999993</c:v>
                </c:pt>
                <c:pt idx="3">
                  <c:v>9943.400000000003</c:v>
                </c:pt>
                <c:pt idx="4">
                  <c:v>4651.099999999999</c:v>
                </c:pt>
                <c:pt idx="5">
                  <c:v>34984.19999999999</c:v>
                </c:pt>
                <c:pt idx="6">
                  <c:v>44751.30000000002</c:v>
                </c:pt>
              </c:numCache>
            </c:numRef>
          </c:val>
          <c:shape val="box"/>
        </c:ser>
        <c:shape val="box"/>
        <c:axId val="19112054"/>
        <c:axId val="37790759"/>
      </c:bar3DChart>
      <c:catAx>
        <c:axId val="1911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90759"/>
        <c:crosses val="autoZero"/>
        <c:auto val="1"/>
        <c:lblOffset val="100"/>
        <c:tickLblSkip val="1"/>
        <c:noMultiLvlLbl val="0"/>
      </c:catAx>
      <c:valAx>
        <c:axId val="37790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120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14286.000000000002</c:v>
                </c:pt>
                <c:pt idx="4">
                  <c:v>13384.7</c:v>
                </c:pt>
                <c:pt idx="5">
                  <c:v>274544.30000000005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400352.79999999993</c:v>
                </c:pt>
                <c:pt idx="1">
                  <c:v>59830.399999999994</c:v>
                </c:pt>
                <c:pt idx="2">
                  <c:v>16269.499999999996</c:v>
                </c:pt>
                <c:pt idx="3">
                  <c:v>9226.4</c:v>
                </c:pt>
                <c:pt idx="4">
                  <c:v>8270.5</c:v>
                </c:pt>
                <c:pt idx="5">
                  <c:v>211342.8070000001</c:v>
                </c:pt>
              </c:numCache>
            </c:numRef>
          </c:val>
          <c:shape val="box"/>
        </c:ser>
        <c:shape val="box"/>
        <c:axId val="4572512"/>
        <c:axId val="41152609"/>
      </c:bar3DChart>
      <c:catAx>
        <c:axId val="4572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52609"/>
        <c:crosses val="autoZero"/>
        <c:auto val="1"/>
        <c:lblOffset val="100"/>
        <c:tickLblSkip val="1"/>
        <c:noMultiLvlLbl val="0"/>
      </c:catAx>
      <c:valAx>
        <c:axId val="41152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25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122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118</v>
      </c>
      <c r="C3" s="138" t="s">
        <v>102</v>
      </c>
      <c r="D3" s="138" t="s">
        <v>28</v>
      </c>
      <c r="E3" s="138" t="s">
        <v>27</v>
      </c>
      <c r="F3" s="138" t="s">
        <v>119</v>
      </c>
      <c r="G3" s="138" t="s">
        <v>103</v>
      </c>
      <c r="H3" s="138" t="s">
        <v>120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295749.7+4327.4-3057.7</f>
        <v>297019.4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</f>
        <v>262193.10000000003</v>
      </c>
      <c r="E6" s="3">
        <f>D6/D149*100</f>
        <v>35.410832180682895</v>
      </c>
      <c r="F6" s="3">
        <f>D6/B6*100</f>
        <v>88.27473895644528</v>
      </c>
      <c r="G6" s="3">
        <f aca="true" t="shared" si="0" ref="G6:G43">D6/C6*100</f>
        <v>72.19191660540382</v>
      </c>
      <c r="H6" s="3">
        <f>B6-D6</f>
        <v>34826.29999999999</v>
      </c>
      <c r="I6" s="3">
        <f aca="true" t="shared" si="1" ref="I6:I43">C6-D6</f>
        <v>100995.8999999999</v>
      </c>
    </row>
    <row r="7" spans="1:9" s="44" customFormat="1" ht="18.75">
      <c r="A7" s="117" t="s">
        <v>105</v>
      </c>
      <c r="B7" s="109">
        <f>145322.9+4327.4</f>
        <v>149650.3</v>
      </c>
      <c r="C7" s="106">
        <f>173936.4+6491.1</f>
        <v>180427.5</v>
      </c>
      <c r="D7" s="118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+217.4+0.2</f>
        <v>132450</v>
      </c>
      <c r="E7" s="107">
        <f>D7/D6*100</f>
        <v>50.516203515653146</v>
      </c>
      <c r="F7" s="107">
        <f>D7/B7*100</f>
        <v>88.50633777546722</v>
      </c>
      <c r="G7" s="107">
        <f>D7/C7*100</f>
        <v>73.40898698923391</v>
      </c>
      <c r="H7" s="107">
        <f>B7-D7</f>
        <v>17200.29999999999</v>
      </c>
      <c r="I7" s="107">
        <f t="shared" si="1"/>
        <v>47977.5</v>
      </c>
    </row>
    <row r="8" spans="1:9" ht="18">
      <c r="A8" s="29" t="s">
        <v>3</v>
      </c>
      <c r="B8" s="49">
        <f>225576.1+4327.4-3057.7-60.4</f>
        <v>226785.4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</f>
        <v>206709.09999999995</v>
      </c>
      <c r="E8" s="1">
        <f>D8/D6*100</f>
        <v>78.83849727548129</v>
      </c>
      <c r="F8" s="1">
        <f>D8/B8*100</f>
        <v>91.14744599961018</v>
      </c>
      <c r="G8" s="1">
        <f t="shared" si="0"/>
        <v>75.08705283033396</v>
      </c>
      <c r="H8" s="1">
        <f>B8-D8</f>
        <v>20076.300000000047</v>
      </c>
      <c r="I8" s="1">
        <f t="shared" si="1"/>
        <v>68583.50000000009</v>
      </c>
    </row>
    <row r="9" spans="1:9" ht="18">
      <c r="A9" s="29" t="s">
        <v>2</v>
      </c>
      <c r="B9" s="49">
        <v>43.7</v>
      </c>
      <c r="C9" s="50">
        <v>45.2</v>
      </c>
      <c r="D9" s="51">
        <f>0.3+0.2+0.7+0.8+2+0.3+3.5+1.2+0.3+0.4+1.4+0.8+0.2+2.9+0.6+1.3+0.5+0.8+1.6+2.2+0.2</f>
        <v>22.200000000000003</v>
      </c>
      <c r="E9" s="12">
        <f>D9/D6*100</f>
        <v>0.008467042038863724</v>
      </c>
      <c r="F9" s="135">
        <f>D9/B9*100</f>
        <v>50.800915331807786</v>
      </c>
      <c r="G9" s="1">
        <f t="shared" si="0"/>
        <v>49.115044247787615</v>
      </c>
      <c r="H9" s="1">
        <f aca="true" t="shared" si="2" ref="H9:H43">B9-D9</f>
        <v>21.5</v>
      </c>
      <c r="I9" s="1">
        <f t="shared" si="1"/>
        <v>23</v>
      </c>
    </row>
    <row r="10" spans="1:9" ht="18">
      <c r="A10" s="29" t="s">
        <v>1</v>
      </c>
      <c r="B10" s="49">
        <v>17495.6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</f>
        <v>14374.199999999999</v>
      </c>
      <c r="E10" s="1">
        <f>D10/D6*100</f>
        <v>5.482295300677248</v>
      </c>
      <c r="F10" s="1">
        <f aca="true" t="shared" si="3" ref="F10:F41">D10/B10*100</f>
        <v>82.15894281990902</v>
      </c>
      <c r="G10" s="1">
        <f t="shared" si="0"/>
        <v>65.01338784962188</v>
      </c>
      <c r="H10" s="1">
        <f t="shared" si="2"/>
        <v>3121.3999999999996</v>
      </c>
      <c r="I10" s="1">
        <f t="shared" si="1"/>
        <v>7735.4</v>
      </c>
    </row>
    <row r="11" spans="1:9" ht="18">
      <c r="A11" s="29" t="s">
        <v>0</v>
      </c>
      <c r="B11" s="49">
        <f>48629.4+2.8</f>
        <v>48632.200000000004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</f>
        <v>38199.90000000001</v>
      </c>
      <c r="E11" s="1">
        <f>D11/D6*100</f>
        <v>14.569376539657222</v>
      </c>
      <c r="F11" s="1">
        <f t="shared" si="3"/>
        <v>78.54857481257275</v>
      </c>
      <c r="G11" s="1">
        <f t="shared" si="0"/>
        <v>62.16450202360632</v>
      </c>
      <c r="H11" s="1">
        <f t="shared" si="2"/>
        <v>10432.299999999996</v>
      </c>
      <c r="I11" s="1">
        <f t="shared" si="1"/>
        <v>23249.79999999999</v>
      </c>
    </row>
    <row r="12" spans="1:9" ht="18">
      <c r="A12" s="29" t="s">
        <v>15</v>
      </c>
      <c r="B12" s="49">
        <v>257.8</v>
      </c>
      <c r="C12" s="50">
        <f>286.2+9.9-21.4</f>
        <v>274.7</v>
      </c>
      <c r="D12" s="51">
        <f>3.8+3.8+12.7+7.4+5+16.3+3.8+110.9+3.8+1.2+5.4+9.9+1.2+1.2+9.1+1.2-0.1+1.2+16.3</f>
        <v>214.09999999999997</v>
      </c>
      <c r="E12" s="1">
        <f>D12/D6*100</f>
        <v>0.08165737389732985</v>
      </c>
      <c r="F12" s="1">
        <f t="shared" si="3"/>
        <v>83.04887509697438</v>
      </c>
      <c r="G12" s="1">
        <f t="shared" si="0"/>
        <v>77.93957044048051</v>
      </c>
      <c r="H12" s="1">
        <f t="shared" si="2"/>
        <v>43.700000000000045</v>
      </c>
      <c r="I12" s="1">
        <f t="shared" si="1"/>
        <v>60.60000000000002</v>
      </c>
    </row>
    <row r="13" spans="1:9" ht="18.75" thickBot="1">
      <c r="A13" s="29" t="s">
        <v>34</v>
      </c>
      <c r="B13" s="50">
        <f>B6-B8-B9-B10-B11-B12</f>
        <v>3804.700000000029</v>
      </c>
      <c r="C13" s="50">
        <f>C6-C8-C9-C10-C11-C12</f>
        <v>4017.1999999999216</v>
      </c>
      <c r="D13" s="50">
        <f>D6-D8-D9-D10-D11-D12</f>
        <v>2673.6000000000845</v>
      </c>
      <c r="E13" s="1">
        <f>D13/D6*100</f>
        <v>1.0197064682480523</v>
      </c>
      <c r="F13" s="1">
        <f t="shared" si="3"/>
        <v>70.27098062922343</v>
      </c>
      <c r="G13" s="1">
        <f t="shared" si="0"/>
        <v>66.55381858010895</v>
      </c>
      <c r="H13" s="1">
        <f t="shared" si="2"/>
        <v>1131.0999999999444</v>
      </c>
      <c r="I13" s="1">
        <f t="shared" si="1"/>
        <v>1343.599999999837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197445.2+3896.9-2500</f>
        <v>198842.1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</f>
        <v>178466.99999999997</v>
      </c>
      <c r="E18" s="3">
        <f>D18/D149*100</f>
        <v>24.103094195804285</v>
      </c>
      <c r="F18" s="3">
        <f>D18/B18*100</f>
        <v>89.75312572136382</v>
      </c>
      <c r="G18" s="3">
        <f t="shared" si="0"/>
        <v>72.89059120911703</v>
      </c>
      <c r="H18" s="3">
        <f>B18-D18</f>
        <v>20375.100000000035</v>
      </c>
      <c r="I18" s="3">
        <f t="shared" si="1"/>
        <v>66375.30000000005</v>
      </c>
    </row>
    <row r="19" spans="1:9" s="44" customFormat="1" ht="18.75">
      <c r="A19" s="117" t="s">
        <v>106</v>
      </c>
      <c r="B19" s="109">
        <f>168112.5+3896.9</f>
        <v>172009.4</v>
      </c>
      <c r="C19" s="106">
        <f>186519.2+5845.3</f>
        <v>192364.5</v>
      </c>
      <c r="D19" s="118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+6332.4+3.3+1.5+627</f>
        <v>156058.99999999997</v>
      </c>
      <c r="E19" s="107">
        <f>D19/D18*100</f>
        <v>87.44417735491716</v>
      </c>
      <c r="F19" s="107">
        <f t="shared" si="3"/>
        <v>90.72701840713356</v>
      </c>
      <c r="G19" s="107">
        <f t="shared" si="0"/>
        <v>81.12671516833926</v>
      </c>
      <c r="H19" s="107">
        <f t="shared" si="2"/>
        <v>15950.400000000023</v>
      </c>
      <c r="I19" s="107">
        <f t="shared" si="1"/>
        <v>36305.50000000003</v>
      </c>
    </row>
    <row r="20" spans="1:9" ht="18">
      <c r="A20" s="29" t="s">
        <v>5</v>
      </c>
      <c r="B20" s="49">
        <f>157781.2+3896.9-2500</f>
        <v>159178.1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</f>
        <v>143039.3</v>
      </c>
      <c r="E20" s="1">
        <f>D20/D18*100</f>
        <v>80.1488790644769</v>
      </c>
      <c r="F20" s="1">
        <f t="shared" si="3"/>
        <v>89.86116808782111</v>
      </c>
      <c r="G20" s="1">
        <f t="shared" si="0"/>
        <v>74.93869027442553</v>
      </c>
      <c r="H20" s="1">
        <f t="shared" si="2"/>
        <v>16138.800000000017</v>
      </c>
      <c r="I20" s="1">
        <f t="shared" si="1"/>
        <v>47835.80000000002</v>
      </c>
    </row>
    <row r="21" spans="1:9" ht="18">
      <c r="A21" s="29" t="s">
        <v>2</v>
      </c>
      <c r="B21" s="49">
        <v>10663.9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</f>
        <v>8836.300000000001</v>
      </c>
      <c r="E21" s="1">
        <f>D21/D18*100</f>
        <v>4.951223475488467</v>
      </c>
      <c r="F21" s="1">
        <f t="shared" si="3"/>
        <v>82.86180478061499</v>
      </c>
      <c r="G21" s="1">
        <f t="shared" si="0"/>
        <v>67.09721019940166</v>
      </c>
      <c r="H21" s="1">
        <f t="shared" si="2"/>
        <v>1827.5999999999985</v>
      </c>
      <c r="I21" s="1">
        <f t="shared" si="1"/>
        <v>4333.0999999999985</v>
      </c>
    </row>
    <row r="22" spans="1:9" ht="18">
      <c r="A22" s="29" t="s">
        <v>1</v>
      </c>
      <c r="B22" s="49">
        <v>2772.5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</f>
        <v>2599.6999999999994</v>
      </c>
      <c r="E22" s="1">
        <f>D22/D18*100</f>
        <v>1.4566838687264312</v>
      </c>
      <c r="F22" s="1">
        <f t="shared" si="3"/>
        <v>93.76735798016227</v>
      </c>
      <c r="G22" s="1">
        <f t="shared" si="0"/>
        <v>79.9096302216211</v>
      </c>
      <c r="H22" s="1">
        <f t="shared" si="2"/>
        <v>172.80000000000064</v>
      </c>
      <c r="I22" s="1">
        <f t="shared" si="1"/>
        <v>653.6000000000008</v>
      </c>
    </row>
    <row r="23" spans="1:9" ht="18">
      <c r="A23" s="29" t="s">
        <v>0</v>
      </c>
      <c r="B23" s="49">
        <v>16125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</f>
        <v>15092.8</v>
      </c>
      <c r="E23" s="1">
        <f>D23/D18*100</f>
        <v>8.45691360307508</v>
      </c>
      <c r="F23" s="1">
        <f t="shared" si="3"/>
        <v>93.59875968992247</v>
      </c>
      <c r="G23" s="1">
        <f t="shared" si="0"/>
        <v>58.90332904031534</v>
      </c>
      <c r="H23" s="1">
        <f t="shared" si="2"/>
        <v>1032.2000000000007</v>
      </c>
      <c r="I23" s="1">
        <f t="shared" si="1"/>
        <v>10530.2</v>
      </c>
    </row>
    <row r="24" spans="1:9" ht="18">
      <c r="A24" s="29" t="s">
        <v>15</v>
      </c>
      <c r="B24" s="49">
        <v>1170.9</v>
      </c>
      <c r="C24" s="50">
        <v>1528.1</v>
      </c>
      <c r="D24" s="51">
        <f>111+58.1+166.1+55.7+24.9+10.1-0.1+89.8+44.2+0.1+106.9+106.7+78.8+27.8+48.4+56.6+13.9-0.2+32.5+28.8</f>
        <v>1060.0999999999997</v>
      </c>
      <c r="E24" s="1">
        <f>D24/D18*100</f>
        <v>0.5940033731726312</v>
      </c>
      <c r="F24" s="1">
        <f t="shared" si="3"/>
        <v>90.5371936117516</v>
      </c>
      <c r="G24" s="1">
        <f t="shared" si="0"/>
        <v>69.37373208559647</v>
      </c>
      <c r="H24" s="1">
        <f t="shared" si="2"/>
        <v>110.80000000000041</v>
      </c>
      <c r="I24" s="1">
        <f t="shared" si="1"/>
        <v>468.0000000000002</v>
      </c>
    </row>
    <row r="25" spans="1:9" ht="18.75" thickBot="1">
      <c r="A25" s="29" t="s">
        <v>34</v>
      </c>
      <c r="B25" s="50">
        <f>B18-B20-B21-B22-B23-B24</f>
        <v>8931.699999999999</v>
      </c>
      <c r="C25" s="50">
        <f>C18-C20-C21-C22-C23-C24</f>
        <v>10393.400000000007</v>
      </c>
      <c r="D25" s="50">
        <f>D18-D20-D21-D22-D23-D24</f>
        <v>7838.79999999998</v>
      </c>
      <c r="E25" s="1">
        <f>D25/D18*100</f>
        <v>4.392296615060477</v>
      </c>
      <c r="F25" s="1">
        <f t="shared" si="3"/>
        <v>87.76380756183012</v>
      </c>
      <c r="G25" s="1">
        <f t="shared" si="0"/>
        <v>75.4209402120574</v>
      </c>
      <c r="H25" s="1">
        <f t="shared" si="2"/>
        <v>1092.9000000000187</v>
      </c>
      <c r="I25" s="1">
        <f t="shared" si="1"/>
        <v>2554.6000000000267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37461.6-7.3+37.1</f>
        <v>37491.399999999994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</f>
        <v>34059.59999999999</v>
      </c>
      <c r="E33" s="3">
        <f>D33/D149*100</f>
        <v>4.5999638424549945</v>
      </c>
      <c r="F33" s="3">
        <f>D33/B33*100</f>
        <v>90.84643411555716</v>
      </c>
      <c r="G33" s="3">
        <f t="shared" si="0"/>
        <v>75.80119645337035</v>
      </c>
      <c r="H33" s="3">
        <f t="shared" si="2"/>
        <v>3431.800000000003</v>
      </c>
      <c r="I33" s="3">
        <f t="shared" si="1"/>
        <v>10873.200000000004</v>
      </c>
    </row>
    <row r="34" spans="1:9" ht="18">
      <c r="A34" s="29" t="s">
        <v>3</v>
      </c>
      <c r="B34" s="49">
        <v>27060.1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1216.2+1064.6-0.1+1185.2+1240.8+0.1+1202.8+1206.8+1191.1+1224.7+5.8+1196.2+1414.6+52.8+4003.5+27.3+1811.7+0.1+103.5+404.5+5.7+308.6+119.4+352.5+1116.3+2.5+53.9+1234.5+1590.9-0.1+1357.7+21.1</f>
        <v>24715.200000000004</v>
      </c>
      <c r="E34" s="1">
        <f>D34/D33*100</f>
        <v>72.5645632949301</v>
      </c>
      <c r="F34" s="1">
        <f t="shared" si="3"/>
        <v>91.33447400416112</v>
      </c>
      <c r="G34" s="1">
        <f t="shared" si="0"/>
        <v>76.82446924248548</v>
      </c>
      <c r="H34" s="1">
        <f t="shared" si="2"/>
        <v>2344.899999999994</v>
      </c>
      <c r="I34" s="1">
        <f t="shared" si="1"/>
        <v>7455.799999999996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1888.8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</f>
        <v>1293.9000000000003</v>
      </c>
      <c r="E36" s="1">
        <f>D36/D33*100</f>
        <v>3.798928936335132</v>
      </c>
      <c r="F36" s="1">
        <f t="shared" si="3"/>
        <v>68.50381194409151</v>
      </c>
      <c r="G36" s="1">
        <f t="shared" si="0"/>
        <v>48.388182498130156</v>
      </c>
      <c r="H36" s="1">
        <f t="shared" si="2"/>
        <v>594.8999999999996</v>
      </c>
      <c r="I36" s="1">
        <f t="shared" si="1"/>
        <v>1380.0999999999997</v>
      </c>
    </row>
    <row r="37" spans="1:9" s="44" customFormat="1" ht="18.75">
      <c r="A37" s="23" t="s">
        <v>7</v>
      </c>
      <c r="B37" s="58">
        <f>583.2+37.1</f>
        <v>620.3000000000001</v>
      </c>
      <c r="C37" s="59">
        <f>493.5+22+99.9+37.1</f>
        <v>652.5</v>
      </c>
      <c r="D37" s="60">
        <f>19+12.3+0.1+11.9+3.2+10.7+22.4+14.8+37.3+30.8+8.3+7.2+2+25.1+13.4+51+75.3+5+2.8+24.5+38+3.4+3+54.3+34.4</f>
        <v>510.2</v>
      </c>
      <c r="E37" s="19">
        <f>D37/D33*100</f>
        <v>1.4979623953305385</v>
      </c>
      <c r="F37" s="19">
        <f t="shared" si="3"/>
        <v>82.25052394002901</v>
      </c>
      <c r="G37" s="19">
        <f t="shared" si="0"/>
        <v>78.19157088122604</v>
      </c>
      <c r="H37" s="19">
        <f t="shared" si="2"/>
        <v>110.10000000000008</v>
      </c>
      <c r="I37" s="19">
        <f t="shared" si="1"/>
        <v>142.3</v>
      </c>
    </row>
    <row r="38" spans="1:9" ht="18">
      <c r="A38" s="29" t="s">
        <v>15</v>
      </c>
      <c r="B38" s="49">
        <f>40.4+27.4</f>
        <v>67.8</v>
      </c>
      <c r="C38" s="50">
        <f>47.2+27.4</f>
        <v>74.6</v>
      </c>
      <c r="D38" s="50">
        <f>3.4+3.4+3.4+3.4+3.4+50.8</f>
        <v>67.8</v>
      </c>
      <c r="E38" s="1">
        <f>D38/D33*100</f>
        <v>0.19906281929323896</v>
      </c>
      <c r="F38" s="1">
        <f t="shared" si="3"/>
        <v>100</v>
      </c>
      <c r="G38" s="1">
        <f t="shared" si="0"/>
        <v>90.88471849865952</v>
      </c>
      <c r="H38" s="1">
        <f t="shared" si="2"/>
        <v>0</v>
      </c>
      <c r="I38" s="1">
        <f t="shared" si="1"/>
        <v>6.799999999999997</v>
      </c>
    </row>
    <row r="39" spans="1:9" ht="18.75" thickBot="1">
      <c r="A39" s="29" t="s">
        <v>34</v>
      </c>
      <c r="B39" s="49">
        <f>B33-B34-B36-B37-B35-B38</f>
        <v>7854.399999999996</v>
      </c>
      <c r="C39" s="49">
        <f>C33-C34-C36-C37-C35-C38</f>
        <v>9360.699999999995</v>
      </c>
      <c r="D39" s="49">
        <f>D33-D34-D36-D37-D35-D38</f>
        <v>7472.499999999986</v>
      </c>
      <c r="E39" s="1">
        <f>D39/D33*100</f>
        <v>21.939482554110995</v>
      </c>
      <c r="F39" s="1">
        <f t="shared" si="3"/>
        <v>95.13775718068841</v>
      </c>
      <c r="G39" s="1">
        <f t="shared" si="0"/>
        <v>79.8284316343862</v>
      </c>
      <c r="H39" s="1">
        <f>B39-D39</f>
        <v>381.90000000000964</v>
      </c>
      <c r="I39" s="1">
        <f t="shared" si="1"/>
        <v>1888.200000000009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691.1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17.7+12.2+11.2+51.1+0.8+30+0.1+18.9+27.3+43.7+9+5.4+5.6+7.8+24.4+6.4-0.1+26.1+70.2+6+6+27.3+26.1+5.1+3+1+25.2+2+11+3.6+29+1+5+4.7+31.3+9.4+0.5</f>
        <v>565</v>
      </c>
      <c r="E43" s="3">
        <f>D43/D149*100</f>
        <v>0.07630681426050431</v>
      </c>
      <c r="F43" s="3">
        <f>D43/B43*100</f>
        <v>81.753725944147</v>
      </c>
      <c r="G43" s="3">
        <f t="shared" si="0"/>
        <v>68.74315610171554</v>
      </c>
      <c r="H43" s="3">
        <f t="shared" si="2"/>
        <v>126.10000000000002</v>
      </c>
      <c r="I43" s="3">
        <f t="shared" si="1"/>
        <v>256.9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6021.4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</f>
        <v>5402.499999999998</v>
      </c>
      <c r="E45" s="3">
        <f>D45/D149*100</f>
        <v>0.7296417062696892</v>
      </c>
      <c r="F45" s="3">
        <f>D45/B45*100</f>
        <v>89.72165941475401</v>
      </c>
      <c r="G45" s="3">
        <f aca="true" t="shared" si="4" ref="G45:G75">D45/C45*100</f>
        <v>71.7425369170296</v>
      </c>
      <c r="H45" s="3">
        <f>B45-D45</f>
        <v>618.9000000000015</v>
      </c>
      <c r="I45" s="3">
        <f aca="true" t="shared" si="5" ref="I45:I76">C45-D45</f>
        <v>2127.9000000000033</v>
      </c>
    </row>
    <row r="46" spans="1:9" ht="18">
      <c r="A46" s="29" t="s">
        <v>3</v>
      </c>
      <c r="B46" s="49">
        <v>5267.6</v>
      </c>
      <c r="C46" s="50">
        <f>5755.9+764.6</f>
        <v>6520.5</v>
      </c>
      <c r="D46" s="51">
        <f>193+222.7+1.6+196.4+240.9+0.1+199.7+265.9+214+253.1+238.6+255.9+243.9+273.5+83.6+206+267.9+52.2+106.2+102.2+205.5+137.5+232.3+354.4-0.1+203.6</f>
        <v>4750.599999999999</v>
      </c>
      <c r="E46" s="1">
        <f>D46/D45*100</f>
        <v>87.93336418324851</v>
      </c>
      <c r="F46" s="1">
        <f aca="true" t="shared" si="6" ref="F46:F73">D46/B46*100</f>
        <v>90.18528362062418</v>
      </c>
      <c r="G46" s="1">
        <f t="shared" si="4"/>
        <v>72.85637604478184</v>
      </c>
      <c r="H46" s="1">
        <f aca="true" t="shared" si="7" ref="H46:H73">B46-D46</f>
        <v>517.0000000000009</v>
      </c>
      <c r="I46" s="1">
        <f t="shared" si="5"/>
        <v>1769.9000000000005</v>
      </c>
    </row>
    <row r="47" spans="1:9" ht="18">
      <c r="A47" s="29" t="s">
        <v>2</v>
      </c>
      <c r="B47" s="49">
        <v>1</v>
      </c>
      <c r="C47" s="50">
        <v>1.2</v>
      </c>
      <c r="D47" s="51">
        <f>0.3+0.4+0.3</f>
        <v>1</v>
      </c>
      <c r="E47" s="1">
        <f>D47/D45*100</f>
        <v>0.018509949097639988</v>
      </c>
      <c r="F47" s="1">
        <f t="shared" si="6"/>
        <v>100</v>
      </c>
      <c r="G47" s="1">
        <f t="shared" si="4"/>
        <v>83.33333333333334</v>
      </c>
      <c r="H47" s="1">
        <f t="shared" si="7"/>
        <v>0</v>
      </c>
      <c r="I47" s="1">
        <f t="shared" si="5"/>
        <v>0.19999999999999996</v>
      </c>
    </row>
    <row r="48" spans="1:9" ht="18">
      <c r="A48" s="29" t="s">
        <v>1</v>
      </c>
      <c r="B48" s="49">
        <v>47.7</v>
      </c>
      <c r="C48" s="50">
        <v>60.2</v>
      </c>
      <c r="D48" s="51">
        <f>3.8+1+5.7-0.1+1.3+4.1-0.1+4.6+1.1+4.8+5.5+2+1.7+4.3</f>
        <v>39.7</v>
      </c>
      <c r="E48" s="1">
        <f>D48/D45*100</f>
        <v>0.7348449791763076</v>
      </c>
      <c r="F48" s="1">
        <f t="shared" si="6"/>
        <v>83.22851153039832</v>
      </c>
      <c r="G48" s="1">
        <f t="shared" si="4"/>
        <v>65.9468438538206</v>
      </c>
      <c r="H48" s="1">
        <f t="shared" si="7"/>
        <v>8</v>
      </c>
      <c r="I48" s="1">
        <f t="shared" si="5"/>
        <v>20.5</v>
      </c>
    </row>
    <row r="49" spans="1:9" ht="18">
      <c r="A49" s="29" t="s">
        <v>0</v>
      </c>
      <c r="B49" s="49">
        <v>346.8</v>
      </c>
      <c r="C49" s="50">
        <f>538.3+0.2</f>
        <v>538.5</v>
      </c>
      <c r="D49" s="51">
        <f>4.7+90.3+4.8+67.1+3.1+1.1+45.6+36.3+2.7+2+0.1+34.4+3.4+0.5+2.5+1.1+0.5+0.5+1.4+1.1+0.5+1.9+0.9+0.4+1.5+1.2+0.1+0.4+2.2</f>
        <v>312.29999999999984</v>
      </c>
      <c r="E49" s="1">
        <f>D49/D45*100</f>
        <v>5.780657103192965</v>
      </c>
      <c r="F49" s="1">
        <f t="shared" si="6"/>
        <v>90.0519031141868</v>
      </c>
      <c r="G49" s="1">
        <f t="shared" si="4"/>
        <v>57.994428969359305</v>
      </c>
      <c r="H49" s="1">
        <f t="shared" si="7"/>
        <v>34.50000000000017</v>
      </c>
      <c r="I49" s="1">
        <f t="shared" si="5"/>
        <v>226.20000000000016</v>
      </c>
    </row>
    <row r="50" spans="1:9" ht="18.75" thickBot="1">
      <c r="A50" s="29" t="s">
        <v>34</v>
      </c>
      <c r="B50" s="50">
        <f>B45-B46-B49-B48-B47</f>
        <v>358.2999999999993</v>
      </c>
      <c r="C50" s="50">
        <f>C45-C46-C49-C48-C47</f>
        <v>410.0000000000015</v>
      </c>
      <c r="D50" s="50">
        <f>D45-D46-D49-D48-D47</f>
        <v>298.8999999999989</v>
      </c>
      <c r="E50" s="1">
        <f>D50/D45*100</f>
        <v>5.532623785284572</v>
      </c>
      <c r="F50" s="1">
        <f t="shared" si="6"/>
        <v>83.42171364778105</v>
      </c>
      <c r="G50" s="1">
        <f t="shared" si="4"/>
        <v>72.90243902438971</v>
      </c>
      <c r="H50" s="1">
        <f t="shared" si="7"/>
        <v>59.400000000000375</v>
      </c>
      <c r="I50" s="1">
        <f t="shared" si="5"/>
        <v>111.10000000000258</v>
      </c>
    </row>
    <row r="51" spans="1:9" ht="18.75" thickBot="1">
      <c r="A51" s="28" t="s">
        <v>4</v>
      </c>
      <c r="B51" s="52">
        <v>12203.3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</f>
        <v>10432.300000000003</v>
      </c>
      <c r="E51" s="3">
        <f>D51/D149*100</f>
        <v>1.4089479263891316</v>
      </c>
      <c r="F51" s="3">
        <f>D51/B51*100</f>
        <v>85.48753206099992</v>
      </c>
      <c r="G51" s="3">
        <f t="shared" si="4"/>
        <v>69.27940072916599</v>
      </c>
      <c r="H51" s="3">
        <f>B51-D51</f>
        <v>1770.9999999999964</v>
      </c>
      <c r="I51" s="3">
        <f t="shared" si="5"/>
        <v>4625.999999999998</v>
      </c>
    </row>
    <row r="52" spans="1:9" ht="18">
      <c r="A52" s="29" t="s">
        <v>3</v>
      </c>
      <c r="B52" s="49">
        <v>7576</v>
      </c>
      <c r="C52" s="50">
        <f>8729.1+639.9+67.5</f>
        <v>9436.5</v>
      </c>
      <c r="D52" s="51">
        <f>260.4+390.2+0.1+271.7+395.7-0.1+282.9+391.4+0.1+7.8+263.9+397.2+272.6+486-0.1+358+766.6-0.1+295.1+13.6+394.1+219.2+320.5+285+521.5+317.6</f>
        <v>6910.900000000001</v>
      </c>
      <c r="E52" s="1">
        <f>D52/D51*100</f>
        <v>66.24521917506205</v>
      </c>
      <c r="F52" s="1">
        <f t="shared" si="6"/>
        <v>91.22096092925027</v>
      </c>
      <c r="G52" s="1">
        <f t="shared" si="4"/>
        <v>73.23583955915859</v>
      </c>
      <c r="H52" s="1">
        <f t="shared" si="7"/>
        <v>665.0999999999995</v>
      </c>
      <c r="I52" s="1">
        <f t="shared" si="5"/>
        <v>2525.5999999999995</v>
      </c>
    </row>
    <row r="53" spans="1:9" ht="18">
      <c r="A53" s="29" t="s">
        <v>2</v>
      </c>
      <c r="B53" s="49">
        <v>7.6</v>
      </c>
      <c r="C53" s="50">
        <v>10.9</v>
      </c>
      <c r="D53" s="51">
        <f>1.4+1.4</f>
        <v>2.8</v>
      </c>
      <c r="E53" s="1">
        <f>D53/D51*100</f>
        <v>0.02683971894980013</v>
      </c>
      <c r="F53" s="1">
        <f t="shared" si="6"/>
        <v>36.84210526315789</v>
      </c>
      <c r="G53" s="1">
        <f t="shared" si="4"/>
        <v>25.688073394495408</v>
      </c>
      <c r="H53" s="1">
        <f t="shared" si="7"/>
        <v>4.8</v>
      </c>
      <c r="I53" s="1">
        <f t="shared" si="5"/>
        <v>8.100000000000001</v>
      </c>
    </row>
    <row r="54" spans="1:9" ht="18">
      <c r="A54" s="29" t="s">
        <v>1</v>
      </c>
      <c r="B54" s="49">
        <v>212.9</v>
      </c>
      <c r="C54" s="50">
        <f>189.7+74</f>
        <v>263.7</v>
      </c>
      <c r="D54" s="51">
        <f>1.7+1.5+4.6+9.7+8-0.1+0.1+5.9+12.1+0.1+17.6+12.8+4+10.7+8.4+14.1+1.9+4.9+0.7+2.4+2.3+3.8+1+1.4+3.6+2.3+15.6</f>
        <v>151.10000000000002</v>
      </c>
      <c r="E54" s="1">
        <f>D54/D51*100</f>
        <v>1.4483862618981431</v>
      </c>
      <c r="F54" s="1">
        <f t="shared" si="6"/>
        <v>70.97228745890091</v>
      </c>
      <c r="G54" s="1">
        <f t="shared" si="4"/>
        <v>57.29996207811908</v>
      </c>
      <c r="H54" s="1">
        <f t="shared" si="7"/>
        <v>61.79999999999998</v>
      </c>
      <c r="I54" s="1">
        <f t="shared" si="5"/>
        <v>112.59999999999997</v>
      </c>
    </row>
    <row r="55" spans="1:9" ht="18">
      <c r="A55" s="29" t="s">
        <v>0</v>
      </c>
      <c r="B55" s="49">
        <v>498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1.1+7.6+5.9+0.3+0.2+6.8+0.3+67.1+16.4-0.1+19.5+19.3+76.2+4.5+12.1+86.4+1+0.1+7.3+44.6+0.6+0.7+4.7+3.3+0.6+3.6+2.4+6.1+0.1+1.4+1.4+0.4+0.1+0.5+4.8+1.4+0.3+5.7+0.1+0.9+0.8+1.1+0.2+6.4+0.7+1</f>
        <v>425.9000000000001</v>
      </c>
      <c r="E55" s="1">
        <f>D55/D51*100</f>
        <v>4.082512964542814</v>
      </c>
      <c r="F55" s="1">
        <f t="shared" si="6"/>
        <v>85.52208835341368</v>
      </c>
      <c r="G55" s="1">
        <f t="shared" si="4"/>
        <v>59.94370161857848</v>
      </c>
      <c r="H55" s="1">
        <f t="shared" si="7"/>
        <v>72.09999999999991</v>
      </c>
      <c r="I55" s="1">
        <f t="shared" si="5"/>
        <v>284.5999999999999</v>
      </c>
    </row>
    <row r="56" spans="1:9" ht="18.75" thickBot="1">
      <c r="A56" s="29" t="s">
        <v>34</v>
      </c>
      <c r="B56" s="50">
        <f>B51-B52-B55-B54-B53</f>
        <v>3908.7999999999993</v>
      </c>
      <c r="C56" s="50">
        <f>C51-C52-C55-C54-C53</f>
        <v>4636.700000000002</v>
      </c>
      <c r="D56" s="50">
        <f>D51-D52-D55-D54-D53</f>
        <v>2941.600000000002</v>
      </c>
      <c r="E56" s="1">
        <f>D56/D51*100</f>
        <v>28.197041879547193</v>
      </c>
      <c r="F56" s="1">
        <f t="shared" si="6"/>
        <v>75.25583299222275</v>
      </c>
      <c r="G56" s="1">
        <f t="shared" si="4"/>
        <v>63.44167187870686</v>
      </c>
      <c r="H56" s="1">
        <f t="shared" si="7"/>
        <v>967.1999999999971</v>
      </c>
      <c r="I56" s="1">
        <f>C56-D56</f>
        <v>1695.0999999999995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5212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36.1+65.6+6.5+0.4+1.3+60.3+3+39.2+0.1+14.1+69.1+5.2-0.1+1.8+81+43+6.1+66+42.4+63.1+71.4+46.8+10.3+27.4+2.3+82.5+2.8+0.1+44.9+0.6+7.5+171.3-0.1+367.2+95.8+11.5+311.3+2+93.8+64.9+129.4+50.3+170.3+51.7+1.1+3.7+105.6+80.3+0.1+0.5+56.7+4.1+474.6+79.9+0.1+1424.2+42.1+1.3</f>
        <v>4694.5</v>
      </c>
      <c r="E58" s="3">
        <f>D58/D149*100</f>
        <v>0.6340218399043142</v>
      </c>
      <c r="F58" s="3">
        <f>D58/B58*100</f>
        <v>90.0709900230238</v>
      </c>
      <c r="G58" s="3">
        <f t="shared" si="4"/>
        <v>83.4281144481962</v>
      </c>
      <c r="H58" s="3">
        <f>B58-D58</f>
        <v>517.5</v>
      </c>
      <c r="I58" s="3">
        <f t="shared" si="5"/>
        <v>932.5</v>
      </c>
    </row>
    <row r="59" spans="1:9" ht="18">
      <c r="A59" s="29" t="s">
        <v>3</v>
      </c>
      <c r="B59" s="49">
        <v>1295.8</v>
      </c>
      <c r="C59" s="50">
        <f>1426.1+141.2</f>
        <v>1567.3</v>
      </c>
      <c r="D59" s="51">
        <f>36.1+65.6+39.2+69.1+1.8+43+66+41.2+71.4+46.8+1.2+82.5+0.1+44.9+89.3+53.8+64.9+50.3+105.6+56.7+78.9+42.1</f>
        <v>1150.4999999999998</v>
      </c>
      <c r="E59" s="1">
        <f>D59/D58*100</f>
        <v>24.507402279262962</v>
      </c>
      <c r="F59" s="1">
        <f t="shared" si="6"/>
        <v>88.78684982250346</v>
      </c>
      <c r="G59" s="1">
        <f t="shared" si="4"/>
        <v>73.40649524660242</v>
      </c>
      <c r="H59" s="1">
        <f t="shared" si="7"/>
        <v>145.30000000000018</v>
      </c>
      <c r="I59" s="1">
        <f t="shared" si="5"/>
        <v>416.8000000000002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6.311641282351689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331</v>
      </c>
      <c r="C61" s="50">
        <f>420.8+44</f>
        <v>464.8</v>
      </c>
      <c r="D61" s="51">
        <f>1.3+56.1+4.9+63.5+3.5+0.7+63-0.1+10.3+25.7+2.8+0.3+7.3+0.2+1+0.1+0.3+1+0.2+2.3+0.3</f>
        <v>244.70000000000005</v>
      </c>
      <c r="E61" s="1">
        <f>D61/D58*100</f>
        <v>5.212482692512515</v>
      </c>
      <c r="F61" s="1">
        <f t="shared" si="6"/>
        <v>73.92749244712992</v>
      </c>
      <c r="G61" s="1">
        <f t="shared" si="4"/>
        <v>52.646299483648896</v>
      </c>
      <c r="H61" s="1">
        <f t="shared" si="7"/>
        <v>86.29999999999995</v>
      </c>
      <c r="I61" s="1">
        <f t="shared" si="5"/>
        <v>220.09999999999997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</f>
        <v>2871.7</v>
      </c>
      <c r="E62" s="1">
        <f>D62/D58*100</f>
        <v>61.17158376823942</v>
      </c>
      <c r="F62" s="1">
        <f>D62/B62*100</f>
        <v>92.94429879923617</v>
      </c>
      <c r="G62" s="1">
        <f t="shared" si="4"/>
        <v>92.94429879923615</v>
      </c>
      <c r="H62" s="1">
        <f t="shared" si="7"/>
        <v>218</v>
      </c>
      <c r="I62" s="1">
        <f t="shared" si="5"/>
        <v>218.00000000000045</v>
      </c>
    </row>
    <row r="63" spans="1:9" ht="18.75" thickBot="1">
      <c r="A63" s="29" t="s">
        <v>34</v>
      </c>
      <c r="B63" s="50">
        <f>B58-B59-B61-B62-B60</f>
        <v>195.60000000000002</v>
      </c>
      <c r="C63" s="50">
        <f>C58-C59-C61-C62-C60</f>
        <v>205.2999999999994</v>
      </c>
      <c r="D63" s="50">
        <f>D58-D59-D61-D62-D60</f>
        <v>131.30000000000035</v>
      </c>
      <c r="E63" s="1">
        <f>D63/D58*100</f>
        <v>2.796889977633408</v>
      </c>
      <c r="F63" s="1">
        <f t="shared" si="6"/>
        <v>67.12678936605334</v>
      </c>
      <c r="G63" s="1">
        <f t="shared" si="4"/>
        <v>63.95518753044362</v>
      </c>
      <c r="H63" s="1">
        <f t="shared" si="7"/>
        <v>64.29999999999967</v>
      </c>
      <c r="I63" s="1">
        <f t="shared" si="5"/>
        <v>73.99999999999903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348.8</v>
      </c>
      <c r="C68" s="53">
        <f>C69+C70</f>
        <v>384.30000000000007</v>
      </c>
      <c r="D68" s="54">
        <f>SUM(D69:D70)</f>
        <v>267.7</v>
      </c>
      <c r="E68" s="42">
        <f>D68/D149*100</f>
        <v>0.036154573765552214</v>
      </c>
      <c r="F68" s="111">
        <f>D68/B68*100</f>
        <v>76.74885321100918</v>
      </c>
      <c r="G68" s="3">
        <f t="shared" si="4"/>
        <v>69.65912047879259</v>
      </c>
      <c r="H68" s="3">
        <f>B68-D68</f>
        <v>81.10000000000002</v>
      </c>
      <c r="I68" s="3">
        <f t="shared" si="5"/>
        <v>116.60000000000008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</f>
        <v>256.3</v>
      </c>
      <c r="E69" s="1">
        <f>D69/D68*100</f>
        <v>95.74150168098619</v>
      </c>
      <c r="F69" s="1">
        <f t="shared" si="6"/>
        <v>82.78423772609818</v>
      </c>
      <c r="G69" s="1">
        <f t="shared" si="4"/>
        <v>82.78423772609818</v>
      </c>
      <c r="H69" s="1">
        <f t="shared" si="7"/>
        <v>53.30000000000001</v>
      </c>
      <c r="I69" s="1">
        <f t="shared" si="5"/>
        <v>53.30000000000001</v>
      </c>
    </row>
    <row r="70" spans="1:9" ht="18.75" thickBot="1">
      <c r="A70" s="29" t="s">
        <v>9</v>
      </c>
      <c r="B70" s="49">
        <f>46.7-7.5</f>
        <v>39.2</v>
      </c>
      <c r="C70" s="50">
        <f>242.8-42.9-28.6-11-78-0.1-7.5</f>
        <v>74.70000000000002</v>
      </c>
      <c r="D70" s="51">
        <f>7.4+0.2+3.8</f>
        <v>11.4</v>
      </c>
      <c r="E70" s="1">
        <f>D70/D69*100</f>
        <v>4.44791260241904</v>
      </c>
      <c r="F70" s="1">
        <f t="shared" si="6"/>
        <v>29.081632653061224</v>
      </c>
      <c r="G70" s="1">
        <f t="shared" si="4"/>
        <v>15.261044176706825</v>
      </c>
      <c r="H70" s="1">
        <f t="shared" si="7"/>
        <v>27.800000000000004</v>
      </c>
      <c r="I70" s="1">
        <f t="shared" si="5"/>
        <v>63.30000000000002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204.1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204.1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41478.3+26.4</f>
        <v>41504.700000000004</v>
      </c>
      <c r="C89" s="53">
        <f>47925.9+539.6+110+168.6+27+1682.4+76+79.6</f>
        <v>50609.1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+16.6+59.9+26.5+47.5+9.6+17.3+12.8+35.7+292.1+517+374.6+18.8+26.8+24.9+1.7+23.7+11.7+34.5+136.8+208.3+1414.5+459.5+20.3+21.1+147.5+7.7+49.4+27.6+1214.4+13.9+12.3+45.2+12.7+50.9</f>
        <v>36410.59999999999</v>
      </c>
      <c r="E89" s="3">
        <f>D89/D149*100</f>
        <v>4.917481223563748</v>
      </c>
      <c r="F89" s="3">
        <f aca="true" t="shared" si="10" ref="F89:F95">D89/B89*100</f>
        <v>87.72645025744069</v>
      </c>
      <c r="G89" s="3">
        <f t="shared" si="8"/>
        <v>71.94476882615972</v>
      </c>
      <c r="H89" s="3">
        <f aca="true" t="shared" si="11" ref="H89:H95">B89-D89</f>
        <v>5094.100000000013</v>
      </c>
      <c r="I89" s="3">
        <f t="shared" si="9"/>
        <v>14198.500000000007</v>
      </c>
    </row>
    <row r="90" spans="1:9" ht="18">
      <c r="A90" s="29" t="s">
        <v>3</v>
      </c>
      <c r="B90" s="49">
        <f>34163.2+26.4</f>
        <v>34189.6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</f>
        <v>31328.700000000008</v>
      </c>
      <c r="E90" s="1">
        <f>D90/D89*100</f>
        <v>86.04280072286646</v>
      </c>
      <c r="F90" s="1">
        <f t="shared" si="10"/>
        <v>91.632250742916</v>
      </c>
      <c r="G90" s="1">
        <f t="shared" si="8"/>
        <v>75.67318840579712</v>
      </c>
      <c r="H90" s="1">
        <f t="shared" si="11"/>
        <v>2860.8999999999905</v>
      </c>
      <c r="I90" s="1">
        <f t="shared" si="9"/>
        <v>10071.299999999992</v>
      </c>
    </row>
    <row r="91" spans="1:9" ht="18">
      <c r="A91" s="29" t="s">
        <v>32</v>
      </c>
      <c r="B91" s="49">
        <v>1739.2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</f>
        <v>1136.3</v>
      </c>
      <c r="E91" s="1">
        <f>D91/D89*100</f>
        <v>3.1207944939111143</v>
      </c>
      <c r="F91" s="1">
        <f t="shared" si="10"/>
        <v>65.33463661453541</v>
      </c>
      <c r="G91" s="1">
        <f t="shared" si="8"/>
        <v>44.126441691584795</v>
      </c>
      <c r="H91" s="1">
        <f t="shared" si="11"/>
        <v>602.9000000000001</v>
      </c>
      <c r="I91" s="1">
        <f t="shared" si="9"/>
        <v>1438.8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5575.900000000006</v>
      </c>
      <c r="C93" s="50">
        <f>C89-C90-C91-C92</f>
        <v>6633.999999999998</v>
      </c>
      <c r="D93" s="50">
        <f>D89-D90-D91-D92</f>
        <v>3945.599999999983</v>
      </c>
      <c r="E93" s="1">
        <f>D93/D89*100</f>
        <v>10.836404783222424</v>
      </c>
      <c r="F93" s="1">
        <f t="shared" si="10"/>
        <v>70.76167076167039</v>
      </c>
      <c r="G93" s="1">
        <f>D93/C93*100</f>
        <v>59.475429605064576</v>
      </c>
      <c r="H93" s="1">
        <f t="shared" si="11"/>
        <v>1630.300000000023</v>
      </c>
      <c r="I93" s="1">
        <f>C93-D93</f>
        <v>2688.400000000015</v>
      </c>
    </row>
    <row r="94" spans="1:9" ht="18.75">
      <c r="A94" s="121" t="s">
        <v>12</v>
      </c>
      <c r="B94" s="126">
        <f>46711.7+2819.7</f>
        <v>49531.399999999994</v>
      </c>
      <c r="C94" s="128">
        <f>48638.3+1900-424+424+830+1679.1+0.1+2819.7</f>
        <v>55867.2</v>
      </c>
      <c r="D94" s="127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</f>
        <v>46105.20000000002</v>
      </c>
      <c r="E94" s="120">
        <f>D94/D149*100</f>
        <v>6.226798111227265</v>
      </c>
      <c r="F94" s="124">
        <f t="shared" si="10"/>
        <v>93.08277173671655</v>
      </c>
      <c r="G94" s="119">
        <f>D94/C94*100</f>
        <v>82.52641979551511</v>
      </c>
      <c r="H94" s="125">
        <f t="shared" si="11"/>
        <v>3426.1999999999753</v>
      </c>
      <c r="I94" s="120">
        <f>C94-D94</f>
        <v>9761.999999999978</v>
      </c>
    </row>
    <row r="95" spans="1:9" ht="18.75" thickBot="1">
      <c r="A95" s="122" t="s">
        <v>107</v>
      </c>
      <c r="B95" s="129">
        <v>4061</v>
      </c>
      <c r="C95" s="130">
        <f>4853.7+35</f>
        <v>4888.7</v>
      </c>
      <c r="D95" s="131">
        <f>600+69+9+48.5+2.5+299.7+50.5+190.4+1.3+10.6+6.7+53.3-0.1+0.9+266.8+7.4+4.8+52.9+0.1+200.2+15.7+7.1+5.9+55+13+150.2+100.5+23.9+52.6+56+166.1+18.9+16.3+57+182.9+5.3+14+56.5+0.5+15+250.5+29.4</f>
        <v>3166.8000000000006</v>
      </c>
      <c r="E95" s="132">
        <f>D95/D94*100</f>
        <v>6.868639546081569</v>
      </c>
      <c r="F95" s="133">
        <f t="shared" si="10"/>
        <v>77.98079290815072</v>
      </c>
      <c r="G95" s="134">
        <f>D95/C95*100</f>
        <v>64.77795733016958</v>
      </c>
      <c r="H95" s="123">
        <f t="shared" si="11"/>
        <v>894.1999999999994</v>
      </c>
      <c r="I95" s="96">
        <f>C95-D95</f>
        <v>1721.8999999999992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8275.8+7.5</f>
        <v>8283.3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</f>
        <v>5620.007000000001</v>
      </c>
      <c r="E101" s="25">
        <f>D101/D149*100</f>
        <v>0.759017398746432</v>
      </c>
      <c r="F101" s="25">
        <f>D101/B101*100</f>
        <v>67.84744002993978</v>
      </c>
      <c r="G101" s="25">
        <f aca="true" t="shared" si="12" ref="G101:G147">D101/C101*100</f>
        <v>54.27546211345683</v>
      </c>
      <c r="H101" s="25">
        <f aca="true" t="shared" si="13" ref="H101:H106">B101-D101</f>
        <v>2663.292999999998</v>
      </c>
      <c r="I101" s="25">
        <f aca="true" t="shared" si="14" ref="I101:I147">C101-D101</f>
        <v>4734.592999999999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f>7442.7+7.5</f>
        <v>7450.2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</f>
        <v>5169.099999999999</v>
      </c>
      <c r="E103" s="1">
        <f>D103/D101*100</f>
        <v>91.97675376560916</v>
      </c>
      <c r="F103" s="1">
        <f aca="true" t="shared" si="15" ref="F103:F147">D103/B103*100</f>
        <v>69.38203001261711</v>
      </c>
      <c r="G103" s="1">
        <f t="shared" si="12"/>
        <v>55.47494607153971</v>
      </c>
      <c r="H103" s="1">
        <f t="shared" si="13"/>
        <v>2281.1000000000004</v>
      </c>
      <c r="I103" s="1">
        <f t="shared" si="14"/>
        <v>4148.800000000002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833.0999999999995</v>
      </c>
      <c r="C105" s="100">
        <f>C101-C102-C103</f>
        <v>1036.699999999999</v>
      </c>
      <c r="D105" s="100">
        <f>D101-D102-D103</f>
        <v>450.907000000002</v>
      </c>
      <c r="E105" s="96">
        <f>D105/D101*100</f>
        <v>8.023246234390845</v>
      </c>
      <c r="F105" s="96">
        <f t="shared" si="15"/>
        <v>54.12399471852146</v>
      </c>
      <c r="G105" s="96">
        <f t="shared" si="12"/>
        <v>43.49445355454832</v>
      </c>
      <c r="H105" s="96">
        <f>B105-D105</f>
        <v>382.1929999999975</v>
      </c>
      <c r="I105" s="96">
        <f t="shared" si="14"/>
        <v>585.7929999999969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169651.69999999998</v>
      </c>
      <c r="C106" s="93">
        <f>SUM(C107:C146)-C114-C118+C147-C138-C139-C108-C111-C121-C122-C136-C130-C128</f>
        <v>186793.5</v>
      </c>
      <c r="D106" s="93">
        <f>SUM(D107:D146)-D114-D118+D147-D138-D139-D108-D111-D121-D122-D136-D130-D128</f>
        <v>156214.4</v>
      </c>
      <c r="E106" s="94">
        <f>D106/D149*100</f>
        <v>21.097740186931194</v>
      </c>
      <c r="F106" s="94">
        <f>D106/B106*100</f>
        <v>92.07947813078208</v>
      </c>
      <c r="G106" s="94">
        <f t="shared" si="12"/>
        <v>83.62946248129619</v>
      </c>
      <c r="H106" s="94">
        <f t="shared" si="13"/>
        <v>13437.299999999988</v>
      </c>
      <c r="I106" s="94">
        <f t="shared" si="14"/>
        <v>30579.100000000006</v>
      </c>
    </row>
    <row r="107" spans="1:9" ht="37.5">
      <c r="A107" s="34" t="s">
        <v>66</v>
      </c>
      <c r="B107" s="78">
        <f>1452.1+161.4</f>
        <v>1613.5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</f>
        <v>1070.2000000000003</v>
      </c>
      <c r="E107" s="6">
        <f>D107/D106*100</f>
        <v>0.6850840895589653</v>
      </c>
      <c r="F107" s="6">
        <f t="shared" si="15"/>
        <v>66.32785869228387</v>
      </c>
      <c r="G107" s="6">
        <f t="shared" si="12"/>
        <v>54.568631450132585</v>
      </c>
      <c r="H107" s="6">
        <f aca="true" t="shared" si="16" ref="H107:H147">B107-D107</f>
        <v>543.2999999999997</v>
      </c>
      <c r="I107" s="6">
        <f t="shared" si="14"/>
        <v>890.9999999999998</v>
      </c>
    </row>
    <row r="108" spans="1:9" ht="18">
      <c r="A108" s="29" t="s">
        <v>32</v>
      </c>
      <c r="B108" s="81">
        <v>590.9</v>
      </c>
      <c r="C108" s="51">
        <v>823.7</v>
      </c>
      <c r="D108" s="82">
        <f>96.8+90.7+64.1+48.5+58.1+15.9+13.5+19.9+29.9+6.9+7.8</f>
        <v>452.09999999999997</v>
      </c>
      <c r="E108" s="1"/>
      <c r="F108" s="1">
        <f t="shared" si="15"/>
        <v>76.5104078524285</v>
      </c>
      <c r="G108" s="1">
        <f t="shared" si="12"/>
        <v>54.88648779895592</v>
      </c>
      <c r="H108" s="1">
        <f t="shared" si="16"/>
        <v>138.8</v>
      </c>
      <c r="I108" s="1">
        <f t="shared" si="14"/>
        <v>371.6000000000001</v>
      </c>
    </row>
    <row r="109" spans="1:9" ht="34.5" customHeight="1">
      <c r="A109" s="17" t="s">
        <v>99</v>
      </c>
      <c r="B109" s="80">
        <v>775.4</v>
      </c>
      <c r="C109" s="68">
        <v>903.8</v>
      </c>
      <c r="D109" s="79">
        <f>20.7+31.6+0.1+27.7-0.1+31.4+0.1+10.6+34.1+43.9+13.6+28.6+61.2+100.4+0.1+35.1+59.8</f>
        <v>498.90000000000003</v>
      </c>
      <c r="E109" s="6">
        <f>D109/D106*100</f>
        <v>0.3193687649794129</v>
      </c>
      <c r="F109" s="6">
        <f>D109/B109*100</f>
        <v>64.34098529791076</v>
      </c>
      <c r="G109" s="6">
        <f t="shared" si="12"/>
        <v>55.20026554547467</v>
      </c>
      <c r="H109" s="6">
        <f t="shared" si="16"/>
        <v>276.49999999999994</v>
      </c>
      <c r="I109" s="6">
        <f t="shared" si="14"/>
        <v>404.8999999999999</v>
      </c>
    </row>
    <row r="110" spans="1:9" s="44" customFormat="1" ht="34.5" customHeight="1">
      <c r="A110" s="17" t="s">
        <v>74</v>
      </c>
      <c r="B110" s="80">
        <v>74.3</v>
      </c>
      <c r="C110" s="60">
        <f>71.8+12.8</f>
        <v>84.6</v>
      </c>
      <c r="D110" s="83">
        <f>5.3+5.3+0.5+1.7+6+6+6</f>
        <v>30.799999999999997</v>
      </c>
      <c r="E110" s="6">
        <f>D110/D106*100</f>
        <v>0.019716492205584118</v>
      </c>
      <c r="F110" s="6">
        <f t="shared" si="15"/>
        <v>41.453566621803496</v>
      </c>
      <c r="G110" s="6">
        <f t="shared" si="12"/>
        <v>36.406619385342786</v>
      </c>
      <c r="H110" s="6">
        <f t="shared" si="16"/>
        <v>43.5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56.2</v>
      </c>
      <c r="C112" s="68">
        <v>67.4</v>
      </c>
      <c r="D112" s="79">
        <f>5.5+5.4+5.5+5.5+5.5+5.5-0.1+2.7+0.1+2.7+5.5+5.5</f>
        <v>49.300000000000004</v>
      </c>
      <c r="E112" s="6">
        <f>D112/D106*100</f>
        <v>0.03155919044595121</v>
      </c>
      <c r="F112" s="6">
        <f t="shared" si="15"/>
        <v>87.72241992882563</v>
      </c>
      <c r="G112" s="6">
        <f t="shared" si="12"/>
        <v>73.1454005934718</v>
      </c>
      <c r="H112" s="6">
        <f t="shared" si="16"/>
        <v>6.899999999999999</v>
      </c>
      <c r="I112" s="6">
        <f t="shared" si="14"/>
        <v>18.1</v>
      </c>
    </row>
    <row r="113" spans="1:9" ht="37.5">
      <c r="A113" s="17" t="s">
        <v>46</v>
      </c>
      <c r="B113" s="80">
        <v>1262.9</v>
      </c>
      <c r="C113" s="68">
        <v>1532.5</v>
      </c>
      <c r="D113" s="79">
        <f>96.4+0.6+6.3+86+10.4+21.5+5.3+0.1+11.6+102.1+10.6+3.5+5.6+100.7+13.3+0.9+3.6+96.9-0.1+15.7+1.7+1+96.8+0.1+4+1+0.2+1.2+96.6+0.3-0.1+8.6+0.3+99+5.6+0.2+90.6+4.7+0.3+5.2+0.3</f>
        <v>1008.6000000000003</v>
      </c>
      <c r="E113" s="6">
        <f>D113/D106*100</f>
        <v>0.645651105147797</v>
      </c>
      <c r="F113" s="6">
        <f t="shared" si="15"/>
        <v>79.86380552696177</v>
      </c>
      <c r="G113" s="6">
        <f t="shared" si="12"/>
        <v>65.81402936378468</v>
      </c>
      <c r="H113" s="6">
        <f t="shared" si="16"/>
        <v>254.29999999999984</v>
      </c>
      <c r="I113" s="6">
        <f t="shared" si="14"/>
        <v>523.8999999999997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0.023045250629903518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</f>
        <v>82.6</v>
      </c>
      <c r="E116" s="6">
        <f>D116/D106*100</f>
        <v>0.052876047278611955</v>
      </c>
      <c r="F116" s="6">
        <f>D116/B116*100</f>
        <v>33.686786296900486</v>
      </c>
      <c r="G116" s="6">
        <f t="shared" si="12"/>
        <v>33.686786296900486</v>
      </c>
      <c r="H116" s="6">
        <f t="shared" si="16"/>
        <v>162.6</v>
      </c>
      <c r="I116" s="6">
        <f t="shared" si="14"/>
        <v>162.6</v>
      </c>
    </row>
    <row r="117" spans="1:9" s="2" customFormat="1" ht="18.75">
      <c r="A117" s="17" t="s">
        <v>16</v>
      </c>
      <c r="B117" s="80">
        <v>197.2</v>
      </c>
      <c r="C117" s="60">
        <f>199.6+4.8+37.1</f>
        <v>241.5</v>
      </c>
      <c r="D117" s="79">
        <f>1.6+18.3+17.8+0.8+2.2+4+0.6+16.7+3.7+3.6+16.7+3.4+1.3+16.7+2.9+0.8+16.7+0.1+0.8+1.3+16.7+3.7+1.1+1.1+3.7+16.7+0.8+3+0.3+0.6</f>
        <v>177.7</v>
      </c>
      <c r="E117" s="6">
        <f>D117/D106*100</f>
        <v>0.11375391769260706</v>
      </c>
      <c r="F117" s="6">
        <f t="shared" si="15"/>
        <v>90.11156186612575</v>
      </c>
      <c r="G117" s="6">
        <f t="shared" si="12"/>
        <v>73.58178053830228</v>
      </c>
      <c r="H117" s="6">
        <f t="shared" si="16"/>
        <v>19.5</v>
      </c>
      <c r="I117" s="6">
        <f t="shared" si="14"/>
        <v>63.80000000000001</v>
      </c>
    </row>
    <row r="118" spans="1:9" s="39" customFormat="1" ht="18">
      <c r="A118" s="40" t="s">
        <v>53</v>
      </c>
      <c r="B118" s="81">
        <v>150.4</v>
      </c>
      <c r="C118" s="51">
        <f>150.8+37.1</f>
        <v>187.9</v>
      </c>
      <c r="D118" s="82">
        <f>16.7+16.7+16.7+16.7+16.7+16.7+16.7+16.7</f>
        <v>133.6</v>
      </c>
      <c r="E118" s="1"/>
      <c r="F118" s="1">
        <f t="shared" si="15"/>
        <v>88.82978723404254</v>
      </c>
      <c r="G118" s="1">
        <f t="shared" si="12"/>
        <v>71.1016498137307</v>
      </c>
      <c r="H118" s="1">
        <f t="shared" si="16"/>
        <v>16.80000000000001</v>
      </c>
      <c r="I118" s="1">
        <f t="shared" si="14"/>
        <v>54.30000000000001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0.2869773849273819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f>1209-117</f>
        <v>1092</v>
      </c>
      <c r="C120" s="60">
        <f>628+70+553-88+88</f>
        <v>1251</v>
      </c>
      <c r="D120" s="83">
        <f>110.6+553+71.8+70.5</f>
        <v>805.9</v>
      </c>
      <c r="E120" s="19">
        <f>D120/D106*100</f>
        <v>0.5158935411844234</v>
      </c>
      <c r="F120" s="6">
        <f t="shared" si="15"/>
        <v>73.80036630036629</v>
      </c>
      <c r="G120" s="6">
        <f t="shared" si="12"/>
        <v>64.42046362909673</v>
      </c>
      <c r="H120" s="6">
        <f t="shared" si="16"/>
        <v>286.1</v>
      </c>
      <c r="I120" s="6">
        <f t="shared" si="14"/>
        <v>445.1</v>
      </c>
    </row>
    <row r="121" spans="1:9" s="115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2588.7</v>
      </c>
      <c r="C123" s="60">
        <v>2933.8</v>
      </c>
      <c r="D123" s="83">
        <f>21+0.9+174.2+5+11.4+16.5-0.1+809.5+345.2+0.7+692.9+77.6+2.5-0.1+414.9+15</f>
        <v>2587.1000000000004</v>
      </c>
      <c r="E123" s="19">
        <f>D123/D106*100</f>
        <v>1.6561213306839833</v>
      </c>
      <c r="F123" s="6">
        <f t="shared" si="15"/>
        <v>99.93819291536295</v>
      </c>
      <c r="G123" s="6">
        <f t="shared" si="12"/>
        <v>88.18256186515782</v>
      </c>
      <c r="H123" s="6">
        <f t="shared" si="16"/>
        <v>1.5999999999994543</v>
      </c>
      <c r="I123" s="6">
        <f t="shared" si="14"/>
        <v>346.6999999999998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0.08315494602290187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0.0012802917016613066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253.3</v>
      </c>
      <c r="C126" s="60">
        <v>332.4</v>
      </c>
      <c r="D126" s="83">
        <f>25</f>
        <v>25</v>
      </c>
      <c r="E126" s="19">
        <f>D126/D106*100</f>
        <v>0.016003646270766333</v>
      </c>
      <c r="F126" s="6">
        <f t="shared" si="15"/>
        <v>9.86971969996052</v>
      </c>
      <c r="G126" s="6">
        <f t="shared" si="12"/>
        <v>7.521058965102287</v>
      </c>
      <c r="H126" s="6">
        <f t="shared" si="16"/>
        <v>228.3</v>
      </c>
      <c r="I126" s="6">
        <f t="shared" si="14"/>
        <v>307.4</v>
      </c>
    </row>
    <row r="127" spans="1:9" s="2" customFormat="1" ht="37.5">
      <c r="A127" s="17" t="s">
        <v>77</v>
      </c>
      <c r="B127" s="80">
        <f>813.2</f>
        <v>813.2</v>
      </c>
      <c r="C127" s="60">
        <f>101.4+27.9+634-0.1+60.1</f>
        <v>823.3</v>
      </c>
      <c r="D127" s="83">
        <f>3+3+4.9+21.9-0.1+12.2+1.6+6.9+7.8+0.7+8.4+2.4+5+2.4+0.1+5.6+2.4+0.1+5+2.4+578.6+30.5+2.4+19.2+2.4+0.3+0.9+4.2</f>
        <v>734.2</v>
      </c>
      <c r="E127" s="19">
        <f>D127/D106*100</f>
        <v>0.4699950836798657</v>
      </c>
      <c r="F127" s="6">
        <f t="shared" si="15"/>
        <v>90.28529267092966</v>
      </c>
      <c r="G127" s="6">
        <f t="shared" si="12"/>
        <v>89.17769950200413</v>
      </c>
      <c r="H127" s="6">
        <f t="shared" si="16"/>
        <v>79</v>
      </c>
      <c r="I127" s="6">
        <f t="shared" si="14"/>
        <v>89.09999999999991</v>
      </c>
    </row>
    <row r="128" spans="1:9" s="39" customFormat="1" ht="18">
      <c r="A128" s="29" t="s">
        <v>121</v>
      </c>
      <c r="B128" s="81">
        <v>0.6</v>
      </c>
      <c r="C128" s="51">
        <v>1</v>
      </c>
      <c r="D128" s="82"/>
      <c r="E128" s="1"/>
      <c r="F128" s="1">
        <f>D128/B128*100</f>
        <v>0</v>
      </c>
      <c r="G128" s="1">
        <f t="shared" si="12"/>
        <v>0</v>
      </c>
      <c r="H128" s="1">
        <f t="shared" si="16"/>
        <v>0.6</v>
      </c>
      <c r="I128" s="1">
        <f t="shared" si="14"/>
        <v>1</v>
      </c>
    </row>
    <row r="129" spans="1:9" s="2" customFormat="1" ht="18.75">
      <c r="A129" s="17" t="s">
        <v>71</v>
      </c>
      <c r="B129" s="80">
        <f>540.3+74.7</f>
        <v>615</v>
      </c>
      <c r="C129" s="60">
        <v>650</v>
      </c>
      <c r="D129" s="83">
        <f>8.7+23.6+6.2+5.1+38.5+4.6+4.8+8.6+12.9+2.8+0.1+16.3+3+2.5+6.2-0.2+39.7+9.9+9.5+37.2+8.4+10.6+4.5+4.6+8.4+6.1+57.4+4.4+6.7+28+9.4+8.7+4.9+9.5+4.4+8.6</f>
        <v>424.5999999999999</v>
      </c>
      <c r="E129" s="19">
        <f>D129/D106*100</f>
        <v>0.27180592826269534</v>
      </c>
      <c r="F129" s="6">
        <f t="shared" si="15"/>
        <v>69.04065040650404</v>
      </c>
      <c r="G129" s="6">
        <f t="shared" si="12"/>
        <v>65.32307692307691</v>
      </c>
      <c r="H129" s="6">
        <f t="shared" si="16"/>
        <v>190.4000000000001</v>
      </c>
      <c r="I129" s="6">
        <f t="shared" si="14"/>
        <v>225.4000000000001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</f>
        <v>8.7</v>
      </c>
      <c r="E130" s="1"/>
      <c r="F130" s="1">
        <f>D130/B130*100</f>
        <v>11.646586345381525</v>
      </c>
      <c r="G130" s="1">
        <f t="shared" si="12"/>
        <v>11.646586345381525</v>
      </c>
      <c r="H130" s="1">
        <f t="shared" si="16"/>
        <v>66</v>
      </c>
      <c r="I130" s="1">
        <f t="shared" si="14"/>
        <v>66</v>
      </c>
    </row>
    <row r="131" spans="1:9" s="2" customFormat="1" ht="35.25" customHeight="1">
      <c r="A131" s="17" t="s">
        <v>70</v>
      </c>
      <c r="B131" s="80">
        <v>61.4</v>
      </c>
      <c r="C131" s="60">
        <f>171.5+14.8-110+48.7</f>
        <v>125.00000000000001</v>
      </c>
      <c r="D131" s="83">
        <f>5.6+5.6+3.5+1.3+1.8+0.1+2.5+14.8+2.8</f>
        <v>38</v>
      </c>
      <c r="E131" s="19">
        <f>D131/D106*100</f>
        <v>0.024325542331564823</v>
      </c>
      <c r="F131" s="6">
        <f t="shared" si="15"/>
        <v>61.88925081433225</v>
      </c>
      <c r="G131" s="6">
        <f t="shared" si="12"/>
        <v>30.4</v>
      </c>
      <c r="H131" s="6">
        <f t="shared" si="16"/>
        <v>23.4</v>
      </c>
      <c r="I131" s="6">
        <f t="shared" si="14"/>
        <v>87.00000000000001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f>50+20</f>
        <v>70</v>
      </c>
      <c r="C133" s="60">
        <f>50+20</f>
        <v>70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70</v>
      </c>
      <c r="I133" s="6">
        <f t="shared" si="14"/>
        <v>70</v>
      </c>
    </row>
    <row r="134" spans="1:9" s="2" customFormat="1" ht="35.25" customHeight="1">
      <c r="A134" s="17" t="s">
        <v>117</v>
      </c>
      <c r="B134" s="80">
        <v>202.1</v>
      </c>
      <c r="C134" s="60">
        <v>3882.1</v>
      </c>
      <c r="D134" s="83"/>
      <c r="E134" s="19">
        <f>D134/D106*100</f>
        <v>0</v>
      </c>
      <c r="F134" s="136">
        <f t="shared" si="15"/>
        <v>0</v>
      </c>
      <c r="G134" s="6">
        <f t="shared" si="12"/>
        <v>0</v>
      </c>
      <c r="H134" s="6">
        <f t="shared" si="16"/>
        <v>202.1</v>
      </c>
      <c r="I134" s="6">
        <f t="shared" si="14"/>
        <v>3882.1</v>
      </c>
    </row>
    <row r="135" spans="1:9" s="2" customFormat="1" ht="37.5">
      <c r="A135" s="17" t="s">
        <v>108</v>
      </c>
      <c r="B135" s="80">
        <v>304.3</v>
      </c>
      <c r="C135" s="60">
        <f>265.1+39.2</f>
        <v>304.3</v>
      </c>
      <c r="D135" s="83">
        <f>59.9+7.6+10.7+6.3+5.3+38.1+4+0.1+1.7+3.6+39.2+1.5+0.1+12.4+0.1+5.1+12+1.3+0.1</f>
        <v>209.1</v>
      </c>
      <c r="E135" s="19">
        <f>D135/D106*100</f>
        <v>0.1338544974086896</v>
      </c>
      <c r="F135" s="6">
        <f t="shared" si="15"/>
        <v>68.71508379888269</v>
      </c>
      <c r="G135" s="6">
        <f>D135/C135*100</f>
        <v>68.71508379888269</v>
      </c>
      <c r="H135" s="6">
        <f t="shared" si="16"/>
        <v>95.20000000000002</v>
      </c>
      <c r="I135" s="6">
        <f t="shared" si="14"/>
        <v>95.20000000000002</v>
      </c>
    </row>
    <row r="136" spans="1:9" s="39" customFormat="1" ht="18">
      <c r="A136" s="29" t="s">
        <v>32</v>
      </c>
      <c r="B136" s="81">
        <v>94.2</v>
      </c>
      <c r="C136" s="51">
        <f>64.2+30</f>
        <v>94.2</v>
      </c>
      <c r="D136" s="82">
        <f>7.6+0.3+4.8+38.1+4+0.1+0.1+0.1+8.5+0.1+12+0.1</f>
        <v>75.8</v>
      </c>
      <c r="E136" s="1">
        <f>D136/D135*100</f>
        <v>36.25059780009565</v>
      </c>
      <c r="F136" s="1">
        <f t="shared" si="15"/>
        <v>80.46709129511676</v>
      </c>
      <c r="G136" s="1">
        <f>D136/C136*100</f>
        <v>80.46709129511676</v>
      </c>
      <c r="H136" s="1">
        <f t="shared" si="16"/>
        <v>18.400000000000006</v>
      </c>
      <c r="I136" s="1">
        <f t="shared" si="14"/>
        <v>18.400000000000006</v>
      </c>
    </row>
    <row r="137" spans="1:9" s="2" customFormat="1" ht="18.75">
      <c r="A137" s="17" t="s">
        <v>31</v>
      </c>
      <c r="B137" s="80">
        <v>845.1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</f>
        <v>796.2</v>
      </c>
      <c r="E137" s="19">
        <f>D137/D106*100</f>
        <v>0.5096841264313662</v>
      </c>
      <c r="F137" s="6">
        <f t="shared" si="15"/>
        <v>94.21370252041179</v>
      </c>
      <c r="G137" s="6">
        <f t="shared" si="12"/>
        <v>76.44743158905425</v>
      </c>
      <c r="H137" s="6">
        <f t="shared" si="16"/>
        <v>48.89999999999998</v>
      </c>
      <c r="I137" s="6">
        <f t="shared" si="14"/>
        <v>245.29999999999995</v>
      </c>
    </row>
    <row r="138" spans="1:9" s="39" customFormat="1" ht="18">
      <c r="A138" s="40" t="s">
        <v>53</v>
      </c>
      <c r="B138" s="81">
        <v>735.8</v>
      </c>
      <c r="C138" s="51">
        <f>848.7+46.3</f>
        <v>895</v>
      </c>
      <c r="D138" s="82">
        <f>21.9+39.7+0.1+6.1+19+41-0.1+21.3+43.3+8.5+32.3+32.1+41.5+4.2+33.1+25.6+47+0.1+25.6+53.3+26.2+48.5+0.4+43.2+40.8+42.8+4</f>
        <v>701.5000000000001</v>
      </c>
      <c r="E138" s="1">
        <f>D138/D137*100</f>
        <v>88.10600351670436</v>
      </c>
      <c r="F138" s="1">
        <f aca="true" t="shared" si="17" ref="F138:F146">D138/B138*100</f>
        <v>95.33840717586303</v>
      </c>
      <c r="G138" s="1">
        <f t="shared" si="12"/>
        <v>78.37988826815644</v>
      </c>
      <c r="H138" s="1">
        <f t="shared" si="16"/>
        <v>34.29999999999984</v>
      </c>
      <c r="I138" s="1">
        <f t="shared" si="14"/>
        <v>193.4999999999999</v>
      </c>
    </row>
    <row r="139" spans="1:9" s="39" customFormat="1" ht="18">
      <c r="A139" s="29" t="s">
        <v>32</v>
      </c>
      <c r="B139" s="81">
        <v>24.7</v>
      </c>
      <c r="C139" s="51">
        <f>26.3+9.5</f>
        <v>35.8</v>
      </c>
      <c r="D139" s="82">
        <f>7+6+0.2+7.1+0.1+0.4+0.3+0.1+0.3+0.4+0.3+0.3</f>
        <v>22.5</v>
      </c>
      <c r="E139" s="1">
        <f>D139/D137*100</f>
        <v>2.825923134890731</v>
      </c>
      <c r="F139" s="1">
        <f t="shared" si="17"/>
        <v>91.09311740890689</v>
      </c>
      <c r="G139" s="1">
        <f>D139/C139*100</f>
        <v>62.849162011173185</v>
      </c>
      <c r="H139" s="1">
        <f t="shared" si="16"/>
        <v>2.1999999999999993</v>
      </c>
      <c r="I139" s="1">
        <f t="shared" si="14"/>
        <v>13.299999999999997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0.12802917016613066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1927</v>
      </c>
      <c r="C141" s="60">
        <f>427+1500+800</f>
        <v>2727</v>
      </c>
      <c r="D141" s="83">
        <f>1000</f>
        <v>1000</v>
      </c>
      <c r="E141" s="19">
        <f>D141/D106*100</f>
        <v>0.6401458508306532</v>
      </c>
      <c r="F141" s="112">
        <f>D141/B141*100</f>
        <v>51.89413596263622</v>
      </c>
      <c r="G141" s="6">
        <f t="shared" si="12"/>
        <v>36.67033370003667</v>
      </c>
      <c r="H141" s="6">
        <f t="shared" si="16"/>
        <v>927</v>
      </c>
      <c r="I141" s="6">
        <f t="shared" si="14"/>
        <v>1727</v>
      </c>
    </row>
    <row r="142" spans="1:9" s="2" customFormat="1" ht="18.75">
      <c r="A142" s="23" t="s">
        <v>110</v>
      </c>
      <c r="B142" s="80">
        <v>13100</v>
      </c>
      <c r="C142" s="60">
        <f>6500-2076-424+9200+2300</f>
        <v>15500</v>
      </c>
      <c r="D142" s="83">
        <f>241.3+64.6+48.1+278.9+170.1+140.9+637.5+150.9+370.2+164.6+344.6+242.4+441.1+0.1+89.8+381.7+177.1+247.5+73.1+327.9+377.9+42.9+540.2+305.5</f>
        <v>5858.899999999999</v>
      </c>
      <c r="E142" s="19">
        <f>D142/D106*100</f>
        <v>3.7505505254317137</v>
      </c>
      <c r="F142" s="112">
        <f t="shared" si="17"/>
        <v>44.72442748091602</v>
      </c>
      <c r="G142" s="6">
        <f t="shared" si="12"/>
        <v>37.79935483870967</v>
      </c>
      <c r="H142" s="6">
        <f t="shared" si="16"/>
        <v>7241.100000000001</v>
      </c>
      <c r="I142" s="6">
        <f t="shared" si="14"/>
        <v>9641.100000000002</v>
      </c>
    </row>
    <row r="143" spans="1:9" s="2" customFormat="1" ht="18.75">
      <c r="A143" s="23" t="s">
        <v>111</v>
      </c>
      <c r="B143" s="80">
        <f>3802+117</f>
        <v>3919</v>
      </c>
      <c r="C143" s="60">
        <f>6082.6-959.5+20</f>
        <v>5143.1</v>
      </c>
      <c r="D143" s="83">
        <f>626.1+43.8+40.3+236+112.9+11.4-0.1+68.6+570.3+22.4+44.4+39.9+585.7+199.1+14+103.1+2.3+286.9+158.5+66.9+234.3+82.1+59.7+189.8</f>
        <v>3798.4000000000005</v>
      </c>
      <c r="E143" s="19">
        <f>D143/D106*100</f>
        <v>2.431529999795154</v>
      </c>
      <c r="F143" s="112">
        <f t="shared" si="17"/>
        <v>96.92268435825467</v>
      </c>
      <c r="G143" s="6">
        <f t="shared" si="12"/>
        <v>73.85429021407323</v>
      </c>
      <c r="H143" s="6">
        <f t="shared" si="16"/>
        <v>120.59999999999945</v>
      </c>
      <c r="I143" s="6">
        <f t="shared" si="14"/>
        <v>1344.6999999999998</v>
      </c>
    </row>
    <row r="144" spans="1:9" s="2" customFormat="1" ht="18.75">
      <c r="A144" s="17" t="s">
        <v>114</v>
      </c>
      <c r="B144" s="80">
        <v>6282</v>
      </c>
      <c r="C144" s="60">
        <v>8376</v>
      </c>
      <c r="D144" s="83">
        <f>2094+2094+2094</f>
        <v>6282</v>
      </c>
      <c r="E144" s="19">
        <f>D144/D106*100</f>
        <v>4.021396234918164</v>
      </c>
      <c r="F144" s="112">
        <f t="shared" si="17"/>
        <v>100</v>
      </c>
      <c r="G144" s="6">
        <f t="shared" si="12"/>
        <v>75</v>
      </c>
      <c r="H144" s="6">
        <f t="shared" si="16"/>
        <v>0</v>
      </c>
      <c r="I144" s="6">
        <f t="shared" si="14"/>
        <v>2094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0.3445264969170576</v>
      </c>
      <c r="F145" s="112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</f>
        <v>112066.4</v>
      </c>
      <c r="C146" s="60">
        <f>91632.1+2530-27+23.1+959.5+13590.1-3797.9+8580</f>
        <v>113489.90000000002</v>
      </c>
      <c r="D146" s="83">
        <f>500.9+20883.8+13804+7506.8+2189.4+1247.6+18786.6+13748.5+10000+5000+2324.4+7494.4+700+880+366.4+133+650+1431+4419.6</f>
        <v>112066.4</v>
      </c>
      <c r="E146" s="19">
        <f>D146/D106*100</f>
        <v>71.73884097752831</v>
      </c>
      <c r="F146" s="6">
        <f t="shared" si="17"/>
        <v>100</v>
      </c>
      <c r="G146" s="6">
        <f t="shared" si="12"/>
        <v>98.74570336214938</v>
      </c>
      <c r="H146" s="6">
        <f t="shared" si="16"/>
        <v>0</v>
      </c>
      <c r="I146" s="6">
        <f t="shared" si="14"/>
        <v>1423.500000000029</v>
      </c>
      <c r="K146" s="103"/>
      <c r="L146" s="45"/>
    </row>
    <row r="147" spans="1:12" s="2" customFormat="1" ht="18.75">
      <c r="A147" s="17" t="s">
        <v>112</v>
      </c>
      <c r="B147" s="80">
        <v>18553</v>
      </c>
      <c r="C147" s="60">
        <v>22263.4</v>
      </c>
      <c r="D147" s="83">
        <f>1236.9+618.4+618.4+618.4+618.5+618.4+618.4+618.5+618.4+618.4+618.5+618.4+618.4+618.5+618.4+618.4+618.5+618.4+618.4+618.5+618.4+618.4+618.4+618.5+618.4+618.5+618.4</f>
        <v>17316.1</v>
      </c>
      <c r="E147" s="19">
        <f>D147/D106*100</f>
        <v>11.084829567568674</v>
      </c>
      <c r="F147" s="6">
        <f t="shared" si="15"/>
        <v>93.33315366787042</v>
      </c>
      <c r="G147" s="6">
        <f t="shared" si="12"/>
        <v>77.77832676051275</v>
      </c>
      <c r="H147" s="6">
        <f t="shared" si="16"/>
        <v>1236.9000000000015</v>
      </c>
      <c r="I147" s="6">
        <f t="shared" si="14"/>
        <v>4947.300000000003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179178.99999999997</v>
      </c>
      <c r="C148" s="84">
        <f>C43+C68+C71+C76+C78+C86+C101+C106+C99+C83+C97</f>
        <v>198844.2</v>
      </c>
      <c r="D148" s="60">
        <f>D43+D68+D71+D76+D78+D86+D101+D106+D99+D83+D97</f>
        <v>162667.107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827004.7000000001</v>
      </c>
      <c r="C149" s="54">
        <f>C6+C18+C33+C43+C51+C58+C68+C71+C76+C78+C86+C89+C94+C101+C106+C99+C83+C97+C45</f>
        <v>986500.3</v>
      </c>
      <c r="D149" s="54">
        <f>D6+D18+D33+D43+D51+D58+D68+D71+D76+D78+D86+D89+D94+D101+D106+D99+D83+D97+D45</f>
        <v>740431.907</v>
      </c>
      <c r="E149" s="38">
        <v>100</v>
      </c>
      <c r="F149" s="3">
        <f>D149/B149*100</f>
        <v>89.5317652971017</v>
      </c>
      <c r="G149" s="3">
        <f aca="true" t="shared" si="18" ref="G149:G155">D149/C149*100</f>
        <v>75.05642998790776</v>
      </c>
      <c r="H149" s="3">
        <f aca="true" t="shared" si="19" ref="H149:H155">B149-D149</f>
        <v>86572.79300000006</v>
      </c>
      <c r="I149" s="3">
        <f aca="true" t="shared" si="20" ref="I149:I155">C149-D149</f>
        <v>246068.39300000004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462313.49999999994</v>
      </c>
      <c r="C150" s="67">
        <f>C8+C20+C34+C52+C59+C90+C114+C118+C46+C138+C130</f>
        <v>558420.6</v>
      </c>
      <c r="D150" s="67">
        <f>D8+D20+D34+D52+D59+D90+D114+D118+D46+D138+D130</f>
        <v>419448.0999999999</v>
      </c>
      <c r="E150" s="6">
        <f>D150/D149*100</f>
        <v>56.649111962161825</v>
      </c>
      <c r="F150" s="6">
        <f aca="true" t="shared" si="21" ref="F150:F161">D150/B150*100</f>
        <v>90.72806656089428</v>
      </c>
      <c r="G150" s="6">
        <f t="shared" si="18"/>
        <v>75.11329274027497</v>
      </c>
      <c r="H150" s="6">
        <f t="shared" si="19"/>
        <v>42865.40000000002</v>
      </c>
      <c r="I150" s="18">
        <f t="shared" si="20"/>
        <v>138972.50000000006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74331.79999999999</v>
      </c>
      <c r="C151" s="68">
        <f>C11+C23+C36+C55+C61+C91+C49+C139+C108+C111+C95+C136</f>
        <v>99878</v>
      </c>
      <c r="D151" s="68">
        <f>D11+D23+D36+D55+D61+D91+D49+D139+D108+D111+D95+D136</f>
        <v>60423.00000000002</v>
      </c>
      <c r="E151" s="6">
        <f>D151/D149*100</f>
        <v>8.160507324004342</v>
      </c>
      <c r="F151" s="6">
        <f t="shared" si="21"/>
        <v>81.28822388264516</v>
      </c>
      <c r="G151" s="6">
        <f t="shared" si="18"/>
        <v>60.49680610344622</v>
      </c>
      <c r="H151" s="6">
        <f t="shared" si="19"/>
        <v>13908.799999999967</v>
      </c>
      <c r="I151" s="18">
        <f t="shared" si="20"/>
        <v>39454.99999999998</v>
      </c>
      <c r="K151" s="46"/>
      <c r="L151" s="102"/>
    </row>
    <row r="152" spans="1:12" ht="18.75">
      <c r="A152" s="23" t="s">
        <v>1</v>
      </c>
      <c r="B152" s="67">
        <f>B22+B10+B54+B48+B60+B35+B102+B122</f>
        <v>20828.600000000002</v>
      </c>
      <c r="C152" s="67">
        <f>C22+C10+C54+C48+C60+C35+C102+C122</f>
        <v>25986.7</v>
      </c>
      <c r="D152" s="67">
        <f>D22+D10+D54+D48+D60+D35+D102+D122</f>
        <v>17460.999999999996</v>
      </c>
      <c r="E152" s="6">
        <f>D152/D149*100</f>
        <v>2.3582182014206468</v>
      </c>
      <c r="F152" s="6">
        <f t="shared" si="21"/>
        <v>83.83184659554648</v>
      </c>
      <c r="G152" s="6">
        <f t="shared" si="18"/>
        <v>67.19206363255049</v>
      </c>
      <c r="H152" s="6">
        <f t="shared" si="19"/>
        <v>3367.600000000006</v>
      </c>
      <c r="I152" s="18">
        <f t="shared" si="20"/>
        <v>8525.700000000004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12036.999999999998</v>
      </c>
      <c r="C153" s="67">
        <f>C12+C24+C103+C62+C38+C92+C128</f>
        <v>14286.000000000002</v>
      </c>
      <c r="D153" s="67">
        <f>D12+D24+D103+D62+D38+D92+D128</f>
        <v>9382.8</v>
      </c>
      <c r="E153" s="6">
        <f>D153/D149*100</f>
        <v>1.267206330696389</v>
      </c>
      <c r="F153" s="6">
        <f t="shared" si="21"/>
        <v>77.9496552297084</v>
      </c>
      <c r="G153" s="6">
        <f t="shared" si="18"/>
        <v>65.6782864342713</v>
      </c>
      <c r="H153" s="6">
        <f t="shared" si="19"/>
        <v>2654.199999999999</v>
      </c>
      <c r="I153" s="18">
        <f t="shared" si="20"/>
        <v>4903.200000000003</v>
      </c>
      <c r="K153" s="46"/>
      <c r="L153" s="102"/>
    </row>
    <row r="154" spans="1:12" ht="18.75">
      <c r="A154" s="23" t="s">
        <v>2</v>
      </c>
      <c r="B154" s="67">
        <f>B9+B21+B47+B53+B121</f>
        <v>10874.2</v>
      </c>
      <c r="C154" s="67">
        <f>C9+C21+C47+C53+C121</f>
        <v>13384.7</v>
      </c>
      <c r="D154" s="67">
        <f>D9+D21+D47+D53+D121</f>
        <v>8932.300000000001</v>
      </c>
      <c r="E154" s="6">
        <f>D154/D149*100</f>
        <v>1.2063634637506242</v>
      </c>
      <c r="F154" s="6">
        <f t="shared" si="21"/>
        <v>82.1421345938092</v>
      </c>
      <c r="G154" s="6">
        <f t="shared" si="18"/>
        <v>66.73515282374652</v>
      </c>
      <c r="H154" s="6">
        <f t="shared" si="19"/>
        <v>1941.8999999999996</v>
      </c>
      <c r="I154" s="18">
        <f t="shared" si="20"/>
        <v>4452.4</v>
      </c>
      <c r="K154" s="46"/>
      <c r="L154" s="47"/>
    </row>
    <row r="155" spans="1:12" ht="19.5" thickBot="1">
      <c r="A155" s="23" t="s">
        <v>34</v>
      </c>
      <c r="B155" s="67">
        <f>B149-B150-B151-B152-B153-B154</f>
        <v>246619.60000000015</v>
      </c>
      <c r="C155" s="67">
        <f>C149-C150-C151-C152-C153-C154</f>
        <v>274544.30000000005</v>
      </c>
      <c r="D155" s="67">
        <f>D149-D150-D151-D152-D153-D154</f>
        <v>224784.70700000008</v>
      </c>
      <c r="E155" s="6">
        <f>D155/D149*100</f>
        <v>30.358592717966175</v>
      </c>
      <c r="F155" s="6">
        <f t="shared" si="21"/>
        <v>91.14632697482274</v>
      </c>
      <c r="G155" s="43">
        <f t="shared" si="18"/>
        <v>81.87556871513998</v>
      </c>
      <c r="H155" s="6">
        <f t="shared" si="19"/>
        <v>21834.89300000007</v>
      </c>
      <c r="I155" s="6">
        <f t="shared" si="20"/>
        <v>49759.592999999964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v>24227.7</v>
      </c>
      <c r="C157" s="73">
        <f>3301.9+496+14356.4+1358.1+6215.8</f>
        <v>25728.199999999997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</f>
        <v>10517.399999999996</v>
      </c>
      <c r="E157" s="15"/>
      <c r="F157" s="6">
        <f t="shared" si="21"/>
        <v>43.41064153840437</v>
      </c>
      <c r="G157" s="6">
        <f aca="true" t="shared" si="22" ref="G157:G166">D157/C157*100</f>
        <v>40.87887998383096</v>
      </c>
      <c r="H157" s="6">
        <f>B157-D157</f>
        <v>13710.300000000005</v>
      </c>
      <c r="I157" s="6">
        <f aca="true" t="shared" si="23" ref="I157:I166">C157-D157</f>
        <v>15210.800000000001</v>
      </c>
      <c r="K157" s="46"/>
      <c r="L157" s="46"/>
    </row>
    <row r="158" spans="1:12" ht="18.75">
      <c r="A158" s="23" t="s">
        <v>22</v>
      </c>
      <c r="B158" s="88">
        <f>15660.8+1272.3</f>
        <v>16933.1</v>
      </c>
      <c r="C158" s="67">
        <f>16860.5-195+353.2+846+1272.3</f>
        <v>19137</v>
      </c>
      <c r="D158" s="67">
        <f>132.1+649.5+498.6+2.9+146.5+119.3+11.1+935+701.6+2.9+12.3-0.1+18.6+43.3+39.7+94+282.1+33.2+9+121.6+250.9+78.8+80+13.6+23.8+457.4+36+8.5+326.3</f>
        <v>5128.5</v>
      </c>
      <c r="E158" s="6"/>
      <c r="F158" s="6">
        <f t="shared" si="21"/>
        <v>30.286834661107537</v>
      </c>
      <c r="G158" s="6">
        <f t="shared" si="22"/>
        <v>26.79887129644145</v>
      </c>
      <c r="H158" s="6">
        <f aca="true" t="shared" si="24" ref="H158:H165">B158-D158</f>
        <v>11804.599999999999</v>
      </c>
      <c r="I158" s="6">
        <f t="shared" si="23"/>
        <v>14008.5</v>
      </c>
      <c r="K158" s="46"/>
      <c r="L158" s="46"/>
    </row>
    <row r="159" spans="1:12" ht="18.75">
      <c r="A159" s="23" t="s">
        <v>60</v>
      </c>
      <c r="B159" s="88">
        <f>196927.9+7307.7</f>
        <v>204235.6</v>
      </c>
      <c r="C159" s="67">
        <f>213607.5+29882.9-2140-37856.7-150+7307.7</f>
        <v>210651.40000000002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</f>
        <v>65439.60000000002</v>
      </c>
      <c r="E159" s="6"/>
      <c r="F159" s="6">
        <f t="shared" si="21"/>
        <v>32.041230813824825</v>
      </c>
      <c r="G159" s="6">
        <f t="shared" si="22"/>
        <v>31.06535252079977</v>
      </c>
      <c r="H159" s="6">
        <f t="shared" si="24"/>
        <v>138796</v>
      </c>
      <c r="I159" s="6">
        <f t="shared" si="23"/>
        <v>145211.8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</f>
        <v>1829.9</v>
      </c>
      <c r="E160" s="6"/>
      <c r="F160" s="6">
        <f t="shared" si="21"/>
        <v>69.06846833245264</v>
      </c>
      <c r="G160" s="6">
        <f t="shared" si="22"/>
        <v>69.06846833245264</v>
      </c>
      <c r="H160" s="6">
        <f t="shared" si="24"/>
        <v>819.5</v>
      </c>
      <c r="I160" s="6">
        <f t="shared" si="23"/>
        <v>819.5</v>
      </c>
      <c r="K160" s="46"/>
      <c r="L160" s="46"/>
    </row>
    <row r="161" spans="1:12" ht="18.75">
      <c r="A161" s="23" t="s">
        <v>13</v>
      </c>
      <c r="B161" s="88">
        <v>13472.4</v>
      </c>
      <c r="C161" s="67">
        <f>54+13623.4</f>
        <v>13677.4</v>
      </c>
      <c r="D161" s="67">
        <f>5.2+5.1+225.1+114.9+40.2+5.2+4.6+89.9+13.6+4.1+10.7+98.5+1634+39+1.7-40.2+1.3+4.6+3.7+91+4.8+917.9+24.9</f>
        <v>3299.8000000000006</v>
      </c>
      <c r="E161" s="19"/>
      <c r="F161" s="6">
        <f t="shared" si="21"/>
        <v>24.493037617647936</v>
      </c>
      <c r="G161" s="6">
        <f t="shared" si="22"/>
        <v>24.1259303668826</v>
      </c>
      <c r="H161" s="6">
        <f t="shared" si="24"/>
        <v>10172.599999999999</v>
      </c>
      <c r="I161" s="6">
        <f t="shared" si="23"/>
        <v>10377.599999999999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1053.5</v>
      </c>
      <c r="C163" s="67">
        <f>1212+158.6</f>
        <v>1370.6</v>
      </c>
      <c r="D163" s="67">
        <f>15.4+25.9+416.9+18.7+17.6</f>
        <v>494.5</v>
      </c>
      <c r="E163" s="19"/>
      <c r="F163" s="6">
        <f>D163/B163*100</f>
        <v>46.93877551020408</v>
      </c>
      <c r="G163" s="6">
        <f t="shared" si="22"/>
        <v>36.079089449875966</v>
      </c>
      <c r="H163" s="6">
        <f t="shared" si="24"/>
        <v>559</v>
      </c>
      <c r="I163" s="6">
        <f t="shared" si="23"/>
        <v>876.0999999999999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v>3718.8</v>
      </c>
      <c r="C165" s="89">
        <v>3718.8</v>
      </c>
      <c r="D165" s="89">
        <f>98.8+11.3+146.1+110.9-0.1+10.1+85.3+20.5+418+104.6+257.6+46.9+315.7+1.5+1.4+47.1+128.3+440+24.2+62.6+0.1+90.4+1.3+111.4+230.8+4.4+180+41.1+64.6+325</f>
        <v>3379.9</v>
      </c>
      <c r="E165" s="24"/>
      <c r="F165" s="6">
        <f>D165/B165*100</f>
        <v>90.88684521888781</v>
      </c>
      <c r="G165" s="6">
        <f t="shared" si="22"/>
        <v>90.88684521888781</v>
      </c>
      <c r="H165" s="6">
        <f t="shared" si="24"/>
        <v>338.9000000000001</v>
      </c>
      <c r="I165" s="6">
        <f t="shared" si="23"/>
        <v>338.9000000000001</v>
      </c>
    </row>
    <row r="166" spans="1:9" ht="19.5" thickBot="1">
      <c r="A166" s="14" t="s">
        <v>20</v>
      </c>
      <c r="B166" s="90">
        <f>B149+B157+B161+B162+B158+B165+B164+B159+B163+B160</f>
        <v>1093602.8</v>
      </c>
      <c r="C166" s="90">
        <f>C149+C157+C161+C162+C158+C165+C164+C159+C163+C160</f>
        <v>1263740.7000000002</v>
      </c>
      <c r="D166" s="90">
        <f>D149+D157+D161+D162+D158+D165+D164+D159+D163+D160</f>
        <v>830521.5070000001</v>
      </c>
      <c r="E166" s="25"/>
      <c r="F166" s="3">
        <f>D166/B166*100</f>
        <v>75.94361563448814</v>
      </c>
      <c r="G166" s="3">
        <f t="shared" si="22"/>
        <v>65.71929724191047</v>
      </c>
      <c r="H166" s="3">
        <f>B166-D166</f>
        <v>263081.29299999995</v>
      </c>
      <c r="I166" s="3">
        <f t="shared" si="23"/>
        <v>433219.1930000001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9" sqref="R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986500.3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740431.907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986500.3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740431.907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2015-09-30T12:13:24Z</cp:lastPrinted>
  <dcterms:created xsi:type="dcterms:W3CDTF">2000-06-20T04:48:00Z</dcterms:created>
  <dcterms:modified xsi:type="dcterms:W3CDTF">2015-10-21T05:07:42Z</dcterms:modified>
  <cp:category/>
  <cp:version/>
  <cp:contentType/>
  <cp:contentStatus/>
</cp:coreProperties>
</file>